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3335" windowHeight="6915" activeTab="0"/>
  </bookViews>
  <sheets>
    <sheet name="июль" sheetId="1" r:id="rId1"/>
  </sheets>
  <definedNames/>
  <calcPr fullCalcOnLoad="1"/>
</workbook>
</file>

<file path=xl/sharedStrings.xml><?xml version="1.0" encoding="utf-8"?>
<sst xmlns="http://schemas.openxmlformats.org/spreadsheetml/2006/main" count="580" uniqueCount="297">
  <si>
    <t>Расход тепловой энергии по общедомовым приборам учета в разрезе домов</t>
  </si>
  <si>
    <t>за июль 2015 года</t>
  </si>
  <si>
    <t>№</t>
  </si>
  <si>
    <t>Адрес</t>
  </si>
  <si>
    <t>Управляющая компания</t>
  </si>
  <si>
    <t>Общий расход тепловой энергии по показаниям общедомового прибора учета, Гкал</t>
  </si>
  <si>
    <t>в том числе</t>
  </si>
  <si>
    <t>Примечание</t>
  </si>
  <si>
    <t>Расход тепловой энергии на подогрев воды, Гкал</t>
  </si>
  <si>
    <t>Расход тепловой энергии на отопление квартир,   Гкал</t>
  </si>
  <si>
    <t>ИТОГО Шмидта 10</t>
  </si>
  <si>
    <t>ООО "Жилсервис"</t>
  </si>
  <si>
    <t>Шмидта 12</t>
  </si>
  <si>
    <t>Сопочинского 7</t>
  </si>
  <si>
    <t>Сопочинского 11</t>
  </si>
  <si>
    <t>Сопочинского 13</t>
  </si>
  <si>
    <t>Сопочинского 15</t>
  </si>
  <si>
    <t>ОПУ не работает, расчет по нормативу</t>
  </si>
  <si>
    <t>Сибирская 1</t>
  </si>
  <si>
    <t>Сибирская 3</t>
  </si>
  <si>
    <t>Сибирская 15</t>
  </si>
  <si>
    <t>Сибирская 17</t>
  </si>
  <si>
    <t>Сибирская 19</t>
  </si>
  <si>
    <t>Солнечная 3</t>
  </si>
  <si>
    <t>Солнечная 7</t>
  </si>
  <si>
    <t>Солнечная 9</t>
  </si>
  <si>
    <t>Солнечная 15</t>
  </si>
  <si>
    <t>Солнечная 17</t>
  </si>
  <si>
    <t>Солнечная 19</t>
  </si>
  <si>
    <t>Солнечная 21</t>
  </si>
  <si>
    <t>Ст. Повха 16</t>
  </si>
  <si>
    <t>Ст. Повха 22</t>
  </si>
  <si>
    <t>Бакинская 37</t>
  </si>
  <si>
    <t>ООО "Жилье"</t>
  </si>
  <si>
    <t>Бакинская 39</t>
  </si>
  <si>
    <t>Бакинская 41</t>
  </si>
  <si>
    <t>Бакинская 47</t>
  </si>
  <si>
    <t>Бакинская 49</t>
  </si>
  <si>
    <t>Бакинская 51</t>
  </si>
  <si>
    <t>Бакинская 53</t>
  </si>
  <si>
    <t>Бакинская 55</t>
  </si>
  <si>
    <t>Бакинская 57</t>
  </si>
  <si>
    <t>Бакинская 59</t>
  </si>
  <si>
    <t>Бакинская 61</t>
  </si>
  <si>
    <t>Бакинская 63</t>
  </si>
  <si>
    <t>Бакинская 65</t>
  </si>
  <si>
    <t>Бакинская 67</t>
  </si>
  <si>
    <t>Ленинградская 1</t>
  </si>
  <si>
    <t>Ленинградская 11</t>
  </si>
  <si>
    <t>Ленинградская 13</t>
  </si>
  <si>
    <t>Ленинградская 15</t>
  </si>
  <si>
    <t>Ленинградская 17</t>
  </si>
  <si>
    <t>Ленинградская 19</t>
  </si>
  <si>
    <t>Ленинградская 21</t>
  </si>
  <si>
    <t>Ленинградская 3</t>
  </si>
  <si>
    <t>Ленинградская 5</t>
  </si>
  <si>
    <t>Ленинградская 7</t>
  </si>
  <si>
    <t>Ленинградская 9</t>
  </si>
  <si>
    <t>Солнечная 5</t>
  </si>
  <si>
    <t>Солнечная 13</t>
  </si>
  <si>
    <t>Сургутское шоссе 1</t>
  </si>
  <si>
    <t>ООО "Уют"</t>
  </si>
  <si>
    <t>Сургутское шоссе 3</t>
  </si>
  <si>
    <t>Сургутское шоссе 3А</t>
  </si>
  <si>
    <t>Сургутское шоссе 5</t>
  </si>
  <si>
    <t>Сургутское шоссе 9</t>
  </si>
  <si>
    <t>Градостроителей 2</t>
  </si>
  <si>
    <t>ОПУ на  поверке,расчет по нормативу</t>
  </si>
  <si>
    <t>Градостроителей 2а</t>
  </si>
  <si>
    <t>Градостроителей 4</t>
  </si>
  <si>
    <t>Градостроителей 6</t>
  </si>
  <si>
    <t>Прибалтийская 1</t>
  </si>
  <si>
    <t>Прибалтийская 3</t>
  </si>
  <si>
    <t>Прибалтийская 3а</t>
  </si>
  <si>
    <t>Прибалтийская 5</t>
  </si>
  <si>
    <t>Др. Народов 8</t>
  </si>
  <si>
    <t>Др. Народов 10</t>
  </si>
  <si>
    <t>Др. Народов 12</t>
  </si>
  <si>
    <t>Др. Народов 12/1</t>
  </si>
  <si>
    <t>Др. Народов 12а</t>
  </si>
  <si>
    <t>Др. Народов 12б</t>
  </si>
  <si>
    <t>Др. Народов 12в</t>
  </si>
  <si>
    <t>Сургутское шоссе 11</t>
  </si>
  <si>
    <t>ООО "Сибирь"</t>
  </si>
  <si>
    <t>Сургутское шоссе 11а</t>
  </si>
  <si>
    <t>Сургутское шоссе 13</t>
  </si>
  <si>
    <t>Сургутское шоссе 17</t>
  </si>
  <si>
    <t>Мира 30</t>
  </si>
  <si>
    <t>Мира 32</t>
  </si>
  <si>
    <t>Мира 34</t>
  </si>
  <si>
    <t>Мира 36</t>
  </si>
  <si>
    <t>Мира 38</t>
  </si>
  <si>
    <t>Мира 46</t>
  </si>
  <si>
    <t>Мира 48</t>
  </si>
  <si>
    <t>Мира 52</t>
  </si>
  <si>
    <t>Мира 58</t>
  </si>
  <si>
    <t>Северная 5</t>
  </si>
  <si>
    <t>Северная 7</t>
  </si>
  <si>
    <t xml:space="preserve">Северная 9 </t>
  </si>
  <si>
    <t>Градостроителей 8</t>
  </si>
  <si>
    <t>Градостроителей 16</t>
  </si>
  <si>
    <t>Градостроителей 16/1</t>
  </si>
  <si>
    <t>Градостроителей 20</t>
  </si>
  <si>
    <t>Градостроителей 20/1</t>
  </si>
  <si>
    <t>Градостроителей 22</t>
  </si>
  <si>
    <t>Бакинская 1</t>
  </si>
  <si>
    <t>ООО "Гармония"</t>
  </si>
  <si>
    <t>Бакинская 11</t>
  </si>
  <si>
    <t>Бакинская 13</t>
  </si>
  <si>
    <t>Бакинская 15</t>
  </si>
  <si>
    <t>Бакинская 17</t>
  </si>
  <si>
    <t>Бакинская 21</t>
  </si>
  <si>
    <t>Бакинская 23</t>
  </si>
  <si>
    <t>Бакинская 25</t>
  </si>
  <si>
    <t>Бакинская 3</t>
  </si>
  <si>
    <t>Бакинская 33</t>
  </si>
  <si>
    <t>Бакинская 35</t>
  </si>
  <si>
    <t>Ленинградская 25</t>
  </si>
  <si>
    <t>Ленинградская 31</t>
  </si>
  <si>
    <t>Прибалтийская 29</t>
  </si>
  <si>
    <t>Прибалтийская 31</t>
  </si>
  <si>
    <t>Прибалтийская 33</t>
  </si>
  <si>
    <t>Прибалтийская 35</t>
  </si>
  <si>
    <t>Прибалтийская 39</t>
  </si>
  <si>
    <t>Прибалтийская 41</t>
  </si>
  <si>
    <t>Прибалтийская 43</t>
  </si>
  <si>
    <t>Прибалтийская 45</t>
  </si>
  <si>
    <t>Прибалтийская 47</t>
  </si>
  <si>
    <t>Прибалтийская 49</t>
  </si>
  <si>
    <t>Прибалтийская 51</t>
  </si>
  <si>
    <t>Ленинградская 35</t>
  </si>
  <si>
    <t>Ленинградская 33</t>
  </si>
  <si>
    <t>ООО "Содружество"</t>
  </si>
  <si>
    <t>Ленинградская 37</t>
  </si>
  <si>
    <t>Ленинградская 39</t>
  </si>
  <si>
    <t>Ленинградская 41</t>
  </si>
  <si>
    <t>Ленинградская 43</t>
  </si>
  <si>
    <t>Ленинградская 45</t>
  </si>
  <si>
    <t>Ленинградская 47</t>
  </si>
  <si>
    <t>Ленинградская 51</t>
  </si>
  <si>
    <t>Ленинградская 53</t>
  </si>
  <si>
    <t>Ленинградская 57</t>
  </si>
  <si>
    <t>Ленинградская 59</t>
  </si>
  <si>
    <t>Ленинградская 61</t>
  </si>
  <si>
    <t>Ленинградская 65</t>
  </si>
  <si>
    <t>Прибалитийская 27/1</t>
  </si>
  <si>
    <t>Прибалтийская 27</t>
  </si>
  <si>
    <t>ООО "Веста"</t>
  </si>
  <si>
    <t>Прибалтийская 29/1</t>
  </si>
  <si>
    <t>Прибалтийская 31/1</t>
  </si>
  <si>
    <t>Прибалтийская 37</t>
  </si>
  <si>
    <t>Ленинградская 4</t>
  </si>
  <si>
    <t>Ленинградская 6</t>
  </si>
  <si>
    <t>Ленинградская 8</t>
  </si>
  <si>
    <t>Ленинградская 10</t>
  </si>
  <si>
    <t>Прибалтийская 23</t>
  </si>
  <si>
    <t>Прибалтийская 25</t>
  </si>
  <si>
    <t>Ленинградская 12</t>
  </si>
  <si>
    <t>Бакинская 19а</t>
  </si>
  <si>
    <t>Нефтяников 7</t>
  </si>
  <si>
    <t>ООО "Проспект"</t>
  </si>
  <si>
    <t>Олимпийская 25</t>
  </si>
  <si>
    <t>Олимпийская 27</t>
  </si>
  <si>
    <t>Дорожников 7</t>
  </si>
  <si>
    <t>Нефтяников 17</t>
  </si>
  <si>
    <t>Нефтяников 19</t>
  </si>
  <si>
    <t>ООО "Аркада"</t>
  </si>
  <si>
    <t>Олимпийская 19</t>
  </si>
  <si>
    <t>Олимпийская 21</t>
  </si>
  <si>
    <t>ОПУ на отоплении</t>
  </si>
  <si>
    <t>Студенческая 32</t>
  </si>
  <si>
    <t>Широкая 15</t>
  </si>
  <si>
    <t>Набережная 2</t>
  </si>
  <si>
    <t>Набережная 14</t>
  </si>
  <si>
    <t>Набережная 18</t>
  </si>
  <si>
    <t>Нефтяников 10</t>
  </si>
  <si>
    <t>Нефтяников 8</t>
  </si>
  <si>
    <t>Нефтяников 16</t>
  </si>
  <si>
    <t>Олимпийская 23</t>
  </si>
  <si>
    <t>Рижская 41</t>
  </si>
  <si>
    <t>Дорожников 9</t>
  </si>
  <si>
    <t>Набережная 9</t>
  </si>
  <si>
    <t>Степана Повха 2</t>
  </si>
  <si>
    <t>ООО "Комфорт"</t>
  </si>
  <si>
    <t>Степана Повха 4</t>
  </si>
  <si>
    <t>Степана Повха 6</t>
  </si>
  <si>
    <t>Степана Повха 8</t>
  </si>
  <si>
    <t>Степана Повха 12</t>
  </si>
  <si>
    <t>Мира 2</t>
  </si>
  <si>
    <t>Мира 2а</t>
  </si>
  <si>
    <t>Мира 2б</t>
  </si>
  <si>
    <t>Мира 4</t>
  </si>
  <si>
    <t>Мира 4а</t>
  </si>
  <si>
    <t>Мира 6</t>
  </si>
  <si>
    <t>Др.Народов 18</t>
  </si>
  <si>
    <t>Др.Народов 18а</t>
  </si>
  <si>
    <t>Др.Народов 18б</t>
  </si>
  <si>
    <t>Др.Народов 22</t>
  </si>
  <si>
    <t>Др.Народов 22а</t>
  </si>
  <si>
    <t>Др.Народов 26а</t>
  </si>
  <si>
    <t>Др.Народов 26б</t>
  </si>
  <si>
    <t>Др.Народов 28</t>
  </si>
  <si>
    <t>Янтарная 5</t>
  </si>
  <si>
    <t>ООО "Наш дом"</t>
  </si>
  <si>
    <t>Янтарная 7</t>
  </si>
  <si>
    <t>Др.Народов 26</t>
  </si>
  <si>
    <t>Мира 4б</t>
  </si>
  <si>
    <t>ООО "Комфорт + "</t>
  </si>
  <si>
    <t>Мира 8</t>
  </si>
  <si>
    <t>Мира 10</t>
  </si>
  <si>
    <t>Мира 12</t>
  </si>
  <si>
    <t>Мира 14</t>
  </si>
  <si>
    <t>Мира 14а</t>
  </si>
  <si>
    <t>Мира 14б</t>
  </si>
  <si>
    <t>Молодежная 3</t>
  </si>
  <si>
    <t>Молодежная 11</t>
  </si>
  <si>
    <t>Молодежная 13</t>
  </si>
  <si>
    <t>Молодежная 13а</t>
  </si>
  <si>
    <t>Молодежная 13б</t>
  </si>
  <si>
    <t>Молодежная 15</t>
  </si>
  <si>
    <t>Молодежная 9</t>
  </si>
  <si>
    <t>Прибалтийская 11</t>
  </si>
  <si>
    <t>ООО "Уют +"</t>
  </si>
  <si>
    <t>Прибалтийская 13</t>
  </si>
  <si>
    <t>Мира 16</t>
  </si>
  <si>
    <t>Мира 18</t>
  </si>
  <si>
    <t>Мира 18а</t>
  </si>
  <si>
    <t>Мира 22а</t>
  </si>
  <si>
    <t>Мира 22б</t>
  </si>
  <si>
    <t>Мира 22в</t>
  </si>
  <si>
    <t>Молодежная 10</t>
  </si>
  <si>
    <t>Молодежная 12</t>
  </si>
  <si>
    <t>Молодежная 14</t>
  </si>
  <si>
    <t>Молодежная 7</t>
  </si>
  <si>
    <t>Молодежная 2</t>
  </si>
  <si>
    <t>Прибалтийская 9</t>
  </si>
  <si>
    <t>Прибалтийская 9 а</t>
  </si>
  <si>
    <t>Мира 19</t>
  </si>
  <si>
    <t>Ленинградская 2</t>
  </si>
  <si>
    <t>Молодежная 26</t>
  </si>
  <si>
    <t>Молодежная 30</t>
  </si>
  <si>
    <t>Молодежная 34</t>
  </si>
  <si>
    <t>Мира 21</t>
  </si>
  <si>
    <t>Мира 23</t>
  </si>
  <si>
    <t>Мира 25</t>
  </si>
  <si>
    <t>Мира 27</t>
  </si>
  <si>
    <t>Мира 29</t>
  </si>
  <si>
    <t>Мира 31</t>
  </si>
  <si>
    <t>Прибалтийская 15</t>
  </si>
  <si>
    <t>Прибалтийская 17</t>
  </si>
  <si>
    <t>Молодежная 32</t>
  </si>
  <si>
    <t>Молодежная 24</t>
  </si>
  <si>
    <t>Др.Народов 19</t>
  </si>
  <si>
    <t>Др.Народов 21</t>
  </si>
  <si>
    <t>Др.Народов 25</t>
  </si>
  <si>
    <t>Др.Народов 29</t>
  </si>
  <si>
    <t>Др.Народов 33</t>
  </si>
  <si>
    <t>Югорская 16</t>
  </si>
  <si>
    <t>Югорская 18</t>
  </si>
  <si>
    <t>Югорская 20</t>
  </si>
  <si>
    <t>Югорская 22</t>
  </si>
  <si>
    <t>Югорская 24</t>
  </si>
  <si>
    <t>Югорская 26</t>
  </si>
  <si>
    <t>Югорская 28</t>
  </si>
  <si>
    <t>Югорская 32</t>
  </si>
  <si>
    <t>Югорская 34</t>
  </si>
  <si>
    <t>Югорская 36</t>
  </si>
  <si>
    <t>Югорская 38</t>
  </si>
  <si>
    <t>Др. Народов 37</t>
  </si>
  <si>
    <t>Югорская 44</t>
  </si>
  <si>
    <t>Янтарная 3</t>
  </si>
  <si>
    <t>Др. Народов 39</t>
  </si>
  <si>
    <t>Олимпийская 17а</t>
  </si>
  <si>
    <t>Дорожников 11</t>
  </si>
  <si>
    <t>Нефтяников 6</t>
  </si>
  <si>
    <t>Др.Народов 40</t>
  </si>
  <si>
    <t>ООО "УСО"</t>
  </si>
  <si>
    <t>Нефтяников 14</t>
  </si>
  <si>
    <t>Нефтяников 5</t>
  </si>
  <si>
    <t>Романтиков 24</t>
  </si>
  <si>
    <t>Романтиков 22</t>
  </si>
  <si>
    <t>Набережная 12</t>
  </si>
  <si>
    <t>Северная 3</t>
  </si>
  <si>
    <t>Набережная 30</t>
  </si>
  <si>
    <t>Фестивальная 22</t>
  </si>
  <si>
    <t>Сургутское шоссе 7</t>
  </si>
  <si>
    <t>Береговая 45</t>
  </si>
  <si>
    <t>Строителей 11</t>
  </si>
  <si>
    <t>Береговая 47</t>
  </si>
  <si>
    <t>Строителей 7</t>
  </si>
  <si>
    <t>Строителей 9</t>
  </si>
  <si>
    <t>Олимпийская 29</t>
  </si>
  <si>
    <t>Шмидта 24</t>
  </si>
  <si>
    <t>Нефтяников 70</t>
  </si>
  <si>
    <t>Нефтяников 72</t>
  </si>
  <si>
    <t>ОПУ отсутствует</t>
  </si>
  <si>
    <t>Градостроителей 19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</si>
</sst>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2" fillId="0" borderId="0" xfId="55" applyFont="1" applyFill="1" applyAlignment="1">
      <alignment horizontal="centerContinuous" vertical="center"/>
      <protection/>
    </xf>
    <xf numFmtId="0" fontId="2" fillId="0" borderId="0" xfId="55" applyFont="1" applyFill="1" applyAlignment="1">
      <alignment vertical="center"/>
      <protection/>
    </xf>
    <xf numFmtId="0" fontId="4" fillId="0" borderId="10" xfId="56" applyFont="1" applyFill="1" applyBorder="1" applyAlignment="1">
      <alignment horizontal="centerContinuous" vertical="center" wrapText="1"/>
      <protection/>
    </xf>
    <xf numFmtId="0" fontId="1" fillId="0" borderId="0" xfId="55" applyFill="1" applyAlignment="1">
      <alignment vertical="center"/>
      <protection/>
    </xf>
    <xf numFmtId="0" fontId="4" fillId="0" borderId="10" xfId="56" applyFont="1" applyFill="1" applyBorder="1" applyAlignment="1">
      <alignment horizontal="center" vertical="center" wrapText="1"/>
      <protection/>
    </xf>
    <xf numFmtId="0" fontId="4" fillId="0" borderId="10" xfId="54" applyFont="1" applyFill="1" applyBorder="1" applyAlignment="1">
      <alignment horizontal="center" vertical="center"/>
      <protection/>
    </xf>
    <xf numFmtId="4" fontId="1" fillId="0" borderId="0" xfId="55" applyNumberFormat="1" applyFill="1" applyAlignment="1">
      <alignment vertical="center"/>
      <protection/>
    </xf>
    <xf numFmtId="0" fontId="4" fillId="0" borderId="11" xfId="54" applyFont="1" applyFill="1" applyBorder="1" applyAlignment="1">
      <alignment vertical="center"/>
      <protection/>
    </xf>
    <xf numFmtId="0" fontId="4" fillId="0" borderId="10" xfId="57" applyFont="1" applyFill="1" applyBorder="1" applyAlignment="1">
      <alignment vertical="center"/>
      <protection/>
    </xf>
    <xf numFmtId="4" fontId="4" fillId="33" borderId="10" xfId="57" applyNumberFormat="1" applyFont="1" applyFill="1" applyBorder="1" applyAlignment="1">
      <alignment vertical="center"/>
      <protection/>
    </xf>
    <xf numFmtId="4" fontId="4" fillId="0" borderId="10" xfId="56" applyNumberFormat="1" applyFont="1" applyFill="1" applyBorder="1" applyAlignment="1">
      <alignment horizontal="center" vertical="center"/>
      <protection/>
    </xf>
    <xf numFmtId="2" fontId="4" fillId="0" borderId="10" xfId="56" applyNumberFormat="1" applyFont="1" applyFill="1" applyBorder="1" applyAlignment="1">
      <alignment horizontal="center" vertical="center"/>
      <protection/>
    </xf>
    <xf numFmtId="0" fontId="4" fillId="0" borderId="10" xfId="54" applyFont="1" applyFill="1" applyBorder="1" applyAlignment="1">
      <alignment vertical="center"/>
      <protection/>
    </xf>
    <xf numFmtId="4" fontId="5" fillId="33" borderId="10" xfId="57" applyNumberFormat="1" applyFont="1" applyFill="1" applyBorder="1" applyAlignment="1">
      <alignment vertical="center"/>
      <protection/>
    </xf>
    <xf numFmtId="2" fontId="4" fillId="34" borderId="10" xfId="56" applyNumberFormat="1" applyFont="1" applyFill="1" applyBorder="1" applyAlignment="1">
      <alignment horizontal="center" vertical="center"/>
      <protection/>
    </xf>
    <xf numFmtId="4" fontId="4" fillId="0" borderId="10" xfId="56" applyNumberFormat="1" applyFont="1" applyFill="1" applyBorder="1" applyAlignment="1">
      <alignment horizontal="center" vertical="center" wrapText="1"/>
      <protection/>
    </xf>
    <xf numFmtId="4" fontId="5" fillId="0" borderId="10" xfId="57" applyNumberFormat="1" applyFont="1" applyFill="1" applyBorder="1" applyAlignment="1">
      <alignment vertical="center"/>
      <protection/>
    </xf>
    <xf numFmtId="4" fontId="4" fillId="0" borderId="10" xfId="57" applyNumberFormat="1" applyFont="1" applyFill="1" applyBorder="1" applyAlignment="1">
      <alignment vertical="center"/>
      <protection/>
    </xf>
    <xf numFmtId="2" fontId="4" fillId="0" borderId="10" xfId="56" applyNumberFormat="1" applyFont="1" applyFill="1" applyBorder="1" applyAlignment="1">
      <alignment horizontal="center" vertical="center" wrapText="1"/>
      <protection/>
    </xf>
    <xf numFmtId="4" fontId="4" fillId="0" borderId="10" xfId="54" applyNumberFormat="1" applyFont="1" applyFill="1" applyBorder="1" applyAlignment="1">
      <alignment horizontal="center"/>
      <protection/>
    </xf>
    <xf numFmtId="2" fontId="4" fillId="34" borderId="10" xfId="54" applyNumberFormat="1" applyFont="1" applyFill="1" applyBorder="1" applyAlignment="1">
      <alignment horizontal="center" vertical="center" wrapText="1"/>
      <protection/>
    </xf>
    <xf numFmtId="2" fontId="4" fillId="0" borderId="10" xfId="54" applyNumberFormat="1" applyFont="1" applyFill="1" applyBorder="1" applyAlignment="1">
      <alignment horizontal="center" vertical="center"/>
      <protection/>
    </xf>
    <xf numFmtId="2" fontId="4" fillId="34" borderId="10" xfId="54" applyNumberFormat="1" applyFont="1" applyFill="1" applyBorder="1" applyAlignment="1">
      <alignment horizontal="center" vertical="center"/>
      <protection/>
    </xf>
    <xf numFmtId="0" fontId="4" fillId="0" borderId="10" xfId="56" applyNumberFormat="1" applyFont="1" applyFill="1" applyBorder="1" applyAlignment="1">
      <alignment horizontal="center" vertical="center"/>
      <protection/>
    </xf>
    <xf numFmtId="4" fontId="6" fillId="0" borderId="10" xfId="56" applyNumberFormat="1" applyFont="1" applyFill="1" applyBorder="1" applyAlignment="1">
      <alignment horizontal="center" vertical="center" wrapText="1"/>
      <protection/>
    </xf>
    <xf numFmtId="4" fontId="4" fillId="0" borderId="10" xfId="54" applyNumberFormat="1" applyFont="1" applyFill="1" applyBorder="1" applyAlignment="1">
      <alignment horizontal="center" vertical="center"/>
      <protection/>
    </xf>
    <xf numFmtId="0" fontId="5" fillId="0" borderId="10" xfId="57" applyFont="1" applyFill="1" applyBorder="1" applyAlignment="1">
      <alignment vertical="center"/>
      <protection/>
    </xf>
    <xf numFmtId="4" fontId="4" fillId="34" borderId="10" xfId="56" applyNumberFormat="1" applyFont="1" applyFill="1" applyBorder="1" applyAlignment="1">
      <alignment horizontal="center" vertical="center" wrapText="1"/>
      <protection/>
    </xf>
    <xf numFmtId="4" fontId="4" fillId="34" borderId="10" xfId="56" applyNumberFormat="1" applyFont="1" applyFill="1" applyBorder="1" applyAlignment="1">
      <alignment horizontal="center" vertical="center"/>
      <protection/>
    </xf>
    <xf numFmtId="0" fontId="1" fillId="35" borderId="0" xfId="55" applyFill="1" applyAlignment="1">
      <alignment vertical="center"/>
      <protection/>
    </xf>
    <xf numFmtId="49" fontId="4" fillId="0" borderId="10" xfId="56" applyNumberFormat="1" applyFont="1" applyFill="1" applyBorder="1" applyAlignment="1">
      <alignment horizontal="center" vertical="center"/>
      <protection/>
    </xf>
    <xf numFmtId="49" fontId="4" fillId="34" borderId="10" xfId="56" applyNumberFormat="1" applyFont="1" applyFill="1" applyBorder="1" applyAlignment="1">
      <alignment horizontal="center" vertical="center" wrapText="1"/>
      <protection/>
    </xf>
    <xf numFmtId="0" fontId="4" fillId="33" borderId="10" xfId="57" applyFont="1" applyFill="1" applyBorder="1" applyAlignment="1">
      <alignment vertical="center"/>
      <protection/>
    </xf>
    <xf numFmtId="0" fontId="4" fillId="33" borderId="10" xfId="54" applyFont="1" applyFill="1" applyBorder="1" applyAlignment="1">
      <alignment vertical="center"/>
      <protection/>
    </xf>
    <xf numFmtId="4" fontId="4" fillId="34" borderId="10" xfId="54" applyNumberFormat="1" applyFont="1" applyFill="1" applyBorder="1" applyAlignment="1">
      <alignment horizontal="center" vertical="center"/>
      <protection/>
    </xf>
    <xf numFmtId="0" fontId="4" fillId="34" borderId="10" xfId="54" applyFont="1" applyFill="1" applyBorder="1" applyAlignment="1">
      <alignment horizontal="center" vertical="center"/>
      <protection/>
    </xf>
    <xf numFmtId="49" fontId="4" fillId="0" borderId="10" xfId="56" applyNumberFormat="1" applyFont="1" applyFill="1" applyBorder="1" applyAlignment="1">
      <alignment horizontal="center" vertical="center" wrapText="1"/>
      <protection/>
    </xf>
    <xf numFmtId="0" fontId="4" fillId="0" borderId="10" xfId="54" applyFont="1" applyFill="1" applyBorder="1" applyAlignment="1">
      <alignment horizontal="center"/>
      <protection/>
    </xf>
    <xf numFmtId="0" fontId="1" fillId="0" borderId="10" xfId="55" applyFill="1" applyBorder="1" applyAlignment="1">
      <alignment vertical="center"/>
      <protection/>
    </xf>
    <xf numFmtId="0" fontId="4" fillId="0" borderId="0" xfId="54" applyFont="1" applyFill="1" applyAlignment="1">
      <alignment vertical="center"/>
      <protection/>
    </xf>
    <xf numFmtId="0" fontId="4" fillId="0" borderId="0" xfId="54" applyFont="1" applyFill="1" applyBorder="1" applyAlignment="1">
      <alignment horizontal="center" vertical="center"/>
      <protection/>
    </xf>
    <xf numFmtId="0" fontId="4" fillId="0" borderId="12" xfId="54" applyFont="1" applyFill="1" applyBorder="1" applyAlignment="1">
      <alignment horizontal="center" vertical="center"/>
      <protection/>
    </xf>
    <xf numFmtId="0" fontId="4" fillId="0" borderId="11" xfId="54" applyFont="1" applyFill="1" applyBorder="1" applyAlignment="1">
      <alignment horizontal="center" vertical="center"/>
      <protection/>
    </xf>
    <xf numFmtId="0" fontId="4" fillId="0" borderId="12" xfId="56" applyFont="1" applyFill="1" applyBorder="1" applyAlignment="1">
      <alignment horizontal="center" vertical="center" wrapText="1"/>
      <protection/>
    </xf>
    <xf numFmtId="0" fontId="4" fillId="0" borderId="11" xfId="56" applyFont="1" applyFill="1" applyBorder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Денежный 3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Анализ теплоэнергии на сайт" xfId="55"/>
    <cellStyle name="Обычный_Ж дома по приборам 2008 март" xfId="56"/>
    <cellStyle name="Обычный_Ж дома по приборам 2008 март 2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4"/>
  <sheetViews>
    <sheetView tabSelected="1" zoomScalePageLayoutView="0" workbookViewId="0" topLeftCell="A139">
      <selection activeCell="E7" sqref="E7"/>
    </sheetView>
  </sheetViews>
  <sheetFormatPr defaultColWidth="10.421875" defaultRowHeight="15"/>
  <cols>
    <col min="1" max="1" width="5.7109375" style="40" customWidth="1"/>
    <col min="2" max="2" width="20.8515625" style="40" customWidth="1"/>
    <col min="3" max="3" width="21.7109375" style="40" customWidth="1"/>
    <col min="4" max="4" width="18.00390625" style="41" customWidth="1"/>
    <col min="5" max="5" width="15.00390625" style="41" customWidth="1"/>
    <col min="6" max="6" width="15.140625" style="41" customWidth="1"/>
    <col min="7" max="7" width="28.00390625" style="41" customWidth="1"/>
    <col min="8" max="8" width="10.421875" style="4" hidden="1" customWidth="1"/>
    <col min="9" max="16384" width="10.421875" style="4" customWidth="1"/>
  </cols>
  <sheetData>
    <row r="1" spans="1:7" s="2" customFormat="1" ht="18.75">
      <c r="A1" s="1" t="s">
        <v>0</v>
      </c>
      <c r="B1" s="1"/>
      <c r="C1" s="1"/>
      <c r="D1" s="1"/>
      <c r="E1" s="1"/>
      <c r="F1" s="1"/>
      <c r="G1" s="1"/>
    </row>
    <row r="2" spans="1:7" s="2" customFormat="1" ht="18.75">
      <c r="A2" s="1" t="s">
        <v>1</v>
      </c>
      <c r="B2" s="1"/>
      <c r="C2" s="1"/>
      <c r="D2" s="1"/>
      <c r="E2" s="1"/>
      <c r="F2" s="1"/>
      <c r="G2" s="1"/>
    </row>
    <row r="3" spans="1:7" ht="15">
      <c r="A3" s="42" t="s">
        <v>2</v>
      </c>
      <c r="B3" s="44" t="s">
        <v>3</v>
      </c>
      <c r="C3" s="44" t="s">
        <v>4</v>
      </c>
      <c r="D3" s="44" t="s">
        <v>5</v>
      </c>
      <c r="E3" s="3" t="s">
        <v>6</v>
      </c>
      <c r="F3" s="3"/>
      <c r="G3" s="44" t="s">
        <v>7</v>
      </c>
    </row>
    <row r="4" spans="1:7" ht="51">
      <c r="A4" s="43"/>
      <c r="B4" s="45"/>
      <c r="C4" s="45"/>
      <c r="D4" s="45"/>
      <c r="E4" s="5" t="s">
        <v>8</v>
      </c>
      <c r="F4" s="5" t="s">
        <v>9</v>
      </c>
      <c r="G4" s="45"/>
    </row>
    <row r="5" spans="1:10" ht="15">
      <c r="A5" s="6">
        <v>1</v>
      </c>
      <c r="B5" s="5">
        <v>2</v>
      </c>
      <c r="C5" s="6">
        <v>3</v>
      </c>
      <c r="D5" s="5">
        <v>4</v>
      </c>
      <c r="E5" s="6">
        <v>5</v>
      </c>
      <c r="F5" s="5">
        <v>6</v>
      </c>
      <c r="G5" s="6">
        <v>7</v>
      </c>
      <c r="J5" s="7"/>
    </row>
    <row r="6" spans="1:10" ht="15">
      <c r="A6" s="8">
        <v>1</v>
      </c>
      <c r="B6" s="9" t="s">
        <v>10</v>
      </c>
      <c r="C6" s="10" t="s">
        <v>11</v>
      </c>
      <c r="D6" s="11">
        <f>E6</f>
        <v>42.86</v>
      </c>
      <c r="E6" s="12">
        <v>42.86</v>
      </c>
      <c r="F6" s="11">
        <v>0</v>
      </c>
      <c r="G6" s="11"/>
      <c r="I6" s="7"/>
      <c r="J6" s="7"/>
    </row>
    <row r="7" spans="1:10" ht="15">
      <c r="A7" s="13">
        <v>2</v>
      </c>
      <c r="B7" s="9" t="s">
        <v>12</v>
      </c>
      <c r="C7" s="14" t="s">
        <v>11</v>
      </c>
      <c r="D7" s="11">
        <f aca="true" t="shared" si="0" ref="D7:D70">E7</f>
        <v>39.916799999999995</v>
      </c>
      <c r="E7" s="12">
        <f>594*0.0672</f>
        <v>39.916799999999995</v>
      </c>
      <c r="F7" s="11">
        <v>0</v>
      </c>
      <c r="G7" s="11"/>
      <c r="I7" s="7"/>
      <c r="J7" s="7"/>
    </row>
    <row r="8" spans="1:10" ht="15">
      <c r="A8" s="13">
        <v>3</v>
      </c>
      <c r="B8" s="9" t="s">
        <v>13</v>
      </c>
      <c r="C8" s="14" t="s">
        <v>11</v>
      </c>
      <c r="D8" s="11">
        <f t="shared" si="0"/>
        <v>11.60145</v>
      </c>
      <c r="E8" s="12">
        <f>63.5*0.1827</f>
        <v>11.60145</v>
      </c>
      <c r="F8" s="11">
        <v>0</v>
      </c>
      <c r="G8" s="11"/>
      <c r="I8" s="7"/>
      <c r="J8" s="7"/>
    </row>
    <row r="9" spans="1:10" ht="15">
      <c r="A9" s="13">
        <v>4</v>
      </c>
      <c r="B9" s="9" t="s">
        <v>14</v>
      </c>
      <c r="C9" s="14" t="s">
        <v>11</v>
      </c>
      <c r="D9" s="11">
        <f t="shared" si="0"/>
        <v>29.010689999999997</v>
      </c>
      <c r="E9" s="12">
        <f>231.9*0.1251</f>
        <v>29.010689999999997</v>
      </c>
      <c r="F9" s="11">
        <v>0</v>
      </c>
      <c r="G9" s="11"/>
      <c r="I9" s="7"/>
      <c r="J9" s="7"/>
    </row>
    <row r="10" spans="1:10" ht="15">
      <c r="A10" s="13">
        <v>5</v>
      </c>
      <c r="B10" s="9" t="s">
        <v>15</v>
      </c>
      <c r="C10" s="14" t="s">
        <v>11</v>
      </c>
      <c r="D10" s="11">
        <f t="shared" si="0"/>
        <v>29.310329999999997</v>
      </c>
      <c r="E10" s="12">
        <f>266.7*0.1099</f>
        <v>29.310329999999997</v>
      </c>
      <c r="F10" s="11">
        <v>0</v>
      </c>
      <c r="G10" s="11"/>
      <c r="I10" s="7"/>
      <c r="J10" s="7"/>
    </row>
    <row r="11" spans="1:10" ht="25.5">
      <c r="A11" s="13">
        <v>6</v>
      </c>
      <c r="B11" s="9" t="s">
        <v>16</v>
      </c>
      <c r="C11" s="14" t="s">
        <v>11</v>
      </c>
      <c r="D11" s="11">
        <f t="shared" si="0"/>
        <v>8.456387000000001</v>
      </c>
      <c r="E11" s="15">
        <v>8.456387000000001</v>
      </c>
      <c r="F11" s="11">
        <v>0</v>
      </c>
      <c r="G11" s="16" t="s">
        <v>17</v>
      </c>
      <c r="I11" s="7"/>
      <c r="J11" s="7"/>
    </row>
    <row r="12" spans="1:10" ht="15">
      <c r="A12" s="13">
        <v>7</v>
      </c>
      <c r="B12" s="9" t="s">
        <v>18</v>
      </c>
      <c r="C12" s="14" t="s">
        <v>11</v>
      </c>
      <c r="D12" s="11">
        <f t="shared" si="0"/>
        <v>24.604650000000003</v>
      </c>
      <c r="E12" s="12">
        <f>153.3*0.1605</f>
        <v>24.604650000000003</v>
      </c>
      <c r="F12" s="11">
        <v>0</v>
      </c>
      <c r="G12" s="11"/>
      <c r="I12" s="7"/>
      <c r="J12" s="7"/>
    </row>
    <row r="13" spans="1:10" ht="15">
      <c r="A13" s="13">
        <v>8</v>
      </c>
      <c r="B13" s="9" t="s">
        <v>19</v>
      </c>
      <c r="C13" s="14" t="s">
        <v>11</v>
      </c>
      <c r="D13" s="11">
        <f t="shared" si="0"/>
        <v>18.60159</v>
      </c>
      <c r="E13" s="12">
        <f>84.9*0.2191</f>
        <v>18.60159</v>
      </c>
      <c r="F13" s="11">
        <v>0</v>
      </c>
      <c r="G13" s="11"/>
      <c r="I13" s="7"/>
      <c r="J13" s="7"/>
    </row>
    <row r="14" spans="1:10" ht="15">
      <c r="A14" s="13">
        <v>9</v>
      </c>
      <c r="B14" s="9" t="s">
        <v>20</v>
      </c>
      <c r="C14" s="17" t="s">
        <v>11</v>
      </c>
      <c r="D14" s="11">
        <f t="shared" si="0"/>
        <v>22.99644</v>
      </c>
      <c r="E14" s="12">
        <f>238.8*0.0963</f>
        <v>22.99644</v>
      </c>
      <c r="F14" s="11">
        <v>0</v>
      </c>
      <c r="G14" s="11"/>
      <c r="I14" s="7"/>
      <c r="J14" s="7"/>
    </row>
    <row r="15" spans="1:10" ht="15">
      <c r="A15" s="13">
        <v>10</v>
      </c>
      <c r="B15" s="9" t="s">
        <v>21</v>
      </c>
      <c r="C15" s="17" t="s">
        <v>11</v>
      </c>
      <c r="D15" s="11">
        <f t="shared" si="0"/>
        <v>28.31139</v>
      </c>
      <c r="E15" s="12">
        <f>261.9*0.1081</f>
        <v>28.31139</v>
      </c>
      <c r="F15" s="11">
        <v>0</v>
      </c>
      <c r="G15" s="11"/>
      <c r="I15" s="7"/>
      <c r="J15" s="7"/>
    </row>
    <row r="16" spans="1:10" ht="15">
      <c r="A16" s="13">
        <v>11</v>
      </c>
      <c r="B16" s="9" t="s">
        <v>22</v>
      </c>
      <c r="C16" s="17" t="s">
        <v>11</v>
      </c>
      <c r="D16" s="11">
        <f t="shared" si="0"/>
        <v>24.29268</v>
      </c>
      <c r="E16" s="12">
        <f>208.7*0.1164</f>
        <v>24.29268</v>
      </c>
      <c r="F16" s="11">
        <v>0</v>
      </c>
      <c r="G16" s="11"/>
      <c r="I16" s="7"/>
      <c r="J16" s="7"/>
    </row>
    <row r="17" spans="1:10" ht="15">
      <c r="A17" s="13">
        <v>12</v>
      </c>
      <c r="B17" s="9" t="s">
        <v>23</v>
      </c>
      <c r="C17" s="14" t="s">
        <v>11</v>
      </c>
      <c r="D17" s="11">
        <f t="shared" si="0"/>
        <v>13.098600000000001</v>
      </c>
      <c r="E17" s="12">
        <f>171*0.0766</f>
        <v>13.098600000000001</v>
      </c>
      <c r="F17" s="11">
        <v>0</v>
      </c>
      <c r="G17" s="11"/>
      <c r="I17" s="7"/>
      <c r="J17" s="7"/>
    </row>
    <row r="18" spans="1:10" ht="15">
      <c r="A18" s="13">
        <v>13</v>
      </c>
      <c r="B18" s="9" t="s">
        <v>24</v>
      </c>
      <c r="C18" s="14" t="s">
        <v>11</v>
      </c>
      <c r="D18" s="11">
        <f t="shared" si="0"/>
        <v>27.70763</v>
      </c>
      <c r="E18" s="12">
        <f>254.9*0.1087</f>
        <v>27.70763</v>
      </c>
      <c r="F18" s="11">
        <v>0</v>
      </c>
      <c r="G18" s="11"/>
      <c r="I18" s="7"/>
      <c r="J18" s="7"/>
    </row>
    <row r="19" spans="1:10" ht="15">
      <c r="A19" s="13">
        <v>14</v>
      </c>
      <c r="B19" s="9" t="s">
        <v>25</v>
      </c>
      <c r="C19" s="14" t="s">
        <v>11</v>
      </c>
      <c r="D19" s="11">
        <f t="shared" si="0"/>
        <v>10.49716</v>
      </c>
      <c r="E19" s="12">
        <f>73.1*0.1436</f>
        <v>10.49716</v>
      </c>
      <c r="F19" s="11">
        <v>0</v>
      </c>
      <c r="G19" s="11"/>
      <c r="I19" s="7"/>
      <c r="J19" s="7"/>
    </row>
    <row r="20" spans="1:10" ht="15">
      <c r="A20" s="13">
        <v>15</v>
      </c>
      <c r="B20" s="9" t="s">
        <v>26</v>
      </c>
      <c r="C20" s="14" t="s">
        <v>11</v>
      </c>
      <c r="D20" s="11">
        <f t="shared" si="0"/>
        <v>12.505680000000002</v>
      </c>
      <c r="E20" s="12">
        <f>157.9*0.0792</f>
        <v>12.505680000000002</v>
      </c>
      <c r="F20" s="11">
        <v>0</v>
      </c>
      <c r="G20" s="11"/>
      <c r="I20" s="7"/>
      <c r="J20" s="7"/>
    </row>
    <row r="21" spans="1:10" ht="15">
      <c r="A21" s="13">
        <v>16</v>
      </c>
      <c r="B21" s="9" t="s">
        <v>27</v>
      </c>
      <c r="C21" s="14" t="s">
        <v>11</v>
      </c>
      <c r="D21" s="11">
        <f t="shared" si="0"/>
        <v>29.79012</v>
      </c>
      <c r="E21" s="12">
        <f>346.8*0.0859</f>
        <v>29.79012</v>
      </c>
      <c r="F21" s="11">
        <v>0</v>
      </c>
      <c r="G21" s="11"/>
      <c r="I21" s="7"/>
      <c r="J21" s="7"/>
    </row>
    <row r="22" spans="1:10" ht="15">
      <c r="A22" s="13">
        <v>17</v>
      </c>
      <c r="B22" s="9" t="s">
        <v>28</v>
      </c>
      <c r="C22" s="14" t="s">
        <v>11</v>
      </c>
      <c r="D22" s="11">
        <f t="shared" si="0"/>
        <v>11.5038</v>
      </c>
      <c r="E22" s="12">
        <f>126*0.0913</f>
        <v>11.5038</v>
      </c>
      <c r="F22" s="11">
        <v>0</v>
      </c>
      <c r="G22" s="11"/>
      <c r="I22" s="7"/>
      <c r="J22" s="7"/>
    </row>
    <row r="23" spans="1:10" ht="15">
      <c r="A23" s="13">
        <v>18</v>
      </c>
      <c r="B23" s="9" t="s">
        <v>29</v>
      </c>
      <c r="C23" s="14" t="s">
        <v>11</v>
      </c>
      <c r="D23" s="11">
        <f t="shared" si="0"/>
        <v>25.5937</v>
      </c>
      <c r="E23" s="12">
        <f>439*0.0583</f>
        <v>25.5937</v>
      </c>
      <c r="F23" s="11">
        <v>0</v>
      </c>
      <c r="G23" s="11"/>
      <c r="I23" s="7"/>
      <c r="J23" s="7"/>
    </row>
    <row r="24" spans="1:10" ht="15">
      <c r="A24" s="13">
        <v>19</v>
      </c>
      <c r="B24" s="9" t="s">
        <v>30</v>
      </c>
      <c r="C24" s="14" t="s">
        <v>11</v>
      </c>
      <c r="D24" s="11">
        <f t="shared" si="0"/>
        <v>36.90304</v>
      </c>
      <c r="E24" s="12">
        <f>423.2*0.0872</f>
        <v>36.90304</v>
      </c>
      <c r="F24" s="11">
        <v>0</v>
      </c>
      <c r="G24" s="11"/>
      <c r="I24" s="7"/>
      <c r="J24" s="7"/>
    </row>
    <row r="25" spans="1:10" ht="15">
      <c r="A25" s="13">
        <v>20</v>
      </c>
      <c r="B25" s="9" t="s">
        <v>31</v>
      </c>
      <c r="C25" s="14" t="s">
        <v>11</v>
      </c>
      <c r="D25" s="11">
        <f t="shared" si="0"/>
        <v>18.10744</v>
      </c>
      <c r="E25" s="12">
        <f>151.4*0.1196</f>
        <v>18.10744</v>
      </c>
      <c r="F25" s="11">
        <v>0</v>
      </c>
      <c r="G25" s="11"/>
      <c r="I25" s="7"/>
      <c r="J25" s="7"/>
    </row>
    <row r="26" spans="1:10" ht="15">
      <c r="A26" s="13">
        <v>21</v>
      </c>
      <c r="B26" s="9" t="s">
        <v>32</v>
      </c>
      <c r="C26" s="18" t="s">
        <v>33</v>
      </c>
      <c r="D26" s="11">
        <f t="shared" si="0"/>
        <v>11.70624</v>
      </c>
      <c r="E26" s="12">
        <f>124.8*0.0938</f>
        <v>11.70624</v>
      </c>
      <c r="F26" s="11">
        <v>0</v>
      </c>
      <c r="G26" s="11"/>
      <c r="I26" s="7"/>
      <c r="J26" s="7"/>
    </row>
    <row r="27" spans="1:10" ht="15">
      <c r="A27" s="13">
        <v>22</v>
      </c>
      <c r="B27" s="9" t="s">
        <v>34</v>
      </c>
      <c r="C27" s="18" t="s">
        <v>33</v>
      </c>
      <c r="D27" s="11">
        <f t="shared" si="0"/>
        <v>22.1998</v>
      </c>
      <c r="E27" s="12">
        <f>202*0.1099</f>
        <v>22.1998</v>
      </c>
      <c r="F27" s="11">
        <v>0</v>
      </c>
      <c r="G27" s="11"/>
      <c r="I27" s="7"/>
      <c r="J27" s="7"/>
    </row>
    <row r="28" spans="1:10" ht="15">
      <c r="A28" s="13">
        <v>23</v>
      </c>
      <c r="B28" s="9" t="s">
        <v>35</v>
      </c>
      <c r="C28" s="18" t="s">
        <v>33</v>
      </c>
      <c r="D28" s="11">
        <f t="shared" si="0"/>
        <v>18.40321</v>
      </c>
      <c r="E28" s="12">
        <f>260.3*0.0707</f>
        <v>18.40321</v>
      </c>
      <c r="F28" s="11">
        <v>0</v>
      </c>
      <c r="G28" s="11"/>
      <c r="I28" s="7"/>
      <c r="J28" s="7"/>
    </row>
    <row r="29" spans="1:10" ht="15">
      <c r="A29" s="13">
        <v>24</v>
      </c>
      <c r="B29" s="9" t="s">
        <v>36</v>
      </c>
      <c r="C29" s="18" t="s">
        <v>33</v>
      </c>
      <c r="D29" s="11">
        <f t="shared" si="0"/>
        <v>10.635856</v>
      </c>
      <c r="E29" s="12">
        <f>86.33*0.1232</f>
        <v>10.635856</v>
      </c>
      <c r="F29" s="11">
        <v>0</v>
      </c>
      <c r="G29" s="11"/>
      <c r="I29" s="7"/>
      <c r="J29" s="7"/>
    </row>
    <row r="30" spans="1:10" ht="15">
      <c r="A30" s="13">
        <v>25</v>
      </c>
      <c r="B30" s="9" t="s">
        <v>37</v>
      </c>
      <c r="C30" s="18" t="s">
        <v>33</v>
      </c>
      <c r="D30" s="11">
        <f t="shared" si="0"/>
        <v>21.60108</v>
      </c>
      <c r="E30" s="19">
        <f>318.6*0.0678</f>
        <v>21.60108</v>
      </c>
      <c r="F30" s="11">
        <v>0</v>
      </c>
      <c r="G30" s="16"/>
      <c r="I30" s="7"/>
      <c r="J30" s="7"/>
    </row>
    <row r="31" spans="1:10" ht="15">
      <c r="A31" s="13">
        <v>26</v>
      </c>
      <c r="B31" s="9" t="s">
        <v>38</v>
      </c>
      <c r="C31" s="18" t="s">
        <v>33</v>
      </c>
      <c r="D31" s="11">
        <f t="shared" si="0"/>
        <v>11.40018</v>
      </c>
      <c r="E31" s="19">
        <f>151.8*0.0751</f>
        <v>11.40018</v>
      </c>
      <c r="F31" s="11">
        <v>0</v>
      </c>
      <c r="G31" s="16"/>
      <c r="I31" s="7"/>
      <c r="J31" s="7"/>
    </row>
    <row r="32" spans="1:10" ht="15">
      <c r="A32" s="13">
        <v>27</v>
      </c>
      <c r="B32" s="9" t="s">
        <v>39</v>
      </c>
      <c r="C32" s="18" t="s">
        <v>33</v>
      </c>
      <c r="D32" s="11">
        <f t="shared" si="0"/>
        <v>22.212519999999998</v>
      </c>
      <c r="E32" s="12">
        <f>265.7*0.0836</f>
        <v>22.212519999999998</v>
      </c>
      <c r="F32" s="11">
        <v>0</v>
      </c>
      <c r="G32" s="11"/>
      <c r="I32" s="7"/>
      <c r="J32" s="7"/>
    </row>
    <row r="33" spans="1:10" ht="15">
      <c r="A33" s="13">
        <v>28</v>
      </c>
      <c r="B33" s="9" t="s">
        <v>40</v>
      </c>
      <c r="C33" s="18" t="s">
        <v>33</v>
      </c>
      <c r="D33" s="11">
        <f t="shared" si="0"/>
        <v>25.608659999999997</v>
      </c>
      <c r="E33" s="12">
        <f>337.4*0.0759</f>
        <v>25.608659999999997</v>
      </c>
      <c r="F33" s="11">
        <v>0</v>
      </c>
      <c r="G33" s="11"/>
      <c r="I33" s="7"/>
      <c r="J33" s="7"/>
    </row>
    <row r="34" spans="1:10" ht="15">
      <c r="A34" s="13">
        <v>29</v>
      </c>
      <c r="B34" s="9" t="s">
        <v>41</v>
      </c>
      <c r="C34" s="18" t="s">
        <v>33</v>
      </c>
      <c r="D34" s="11">
        <f t="shared" si="0"/>
        <v>29.589719999999996</v>
      </c>
      <c r="E34" s="12">
        <f>258.2*0.1146</f>
        <v>29.589719999999996</v>
      </c>
      <c r="F34" s="11">
        <v>0</v>
      </c>
      <c r="G34" s="11"/>
      <c r="I34" s="7"/>
      <c r="J34" s="7"/>
    </row>
    <row r="35" spans="1:10" ht="15">
      <c r="A35" s="13">
        <v>30</v>
      </c>
      <c r="B35" s="9" t="s">
        <v>42</v>
      </c>
      <c r="C35" s="18" t="s">
        <v>33</v>
      </c>
      <c r="D35" s="11">
        <f t="shared" si="0"/>
        <v>12.3981</v>
      </c>
      <c r="E35" s="12">
        <f>132.6*0.0935</f>
        <v>12.3981</v>
      </c>
      <c r="F35" s="11">
        <v>0</v>
      </c>
      <c r="G35" s="11"/>
      <c r="I35" s="7"/>
      <c r="J35" s="7"/>
    </row>
    <row r="36" spans="1:10" ht="15">
      <c r="A36" s="13">
        <v>31</v>
      </c>
      <c r="B36" s="9" t="s">
        <v>43</v>
      </c>
      <c r="C36" s="18" t="s">
        <v>33</v>
      </c>
      <c r="D36" s="11">
        <f t="shared" si="0"/>
        <v>19.59681</v>
      </c>
      <c r="E36" s="12">
        <f>156.9*0.1249</f>
        <v>19.59681</v>
      </c>
      <c r="F36" s="11">
        <v>0</v>
      </c>
      <c r="G36" s="11"/>
      <c r="I36" s="7"/>
      <c r="J36" s="7"/>
    </row>
    <row r="37" spans="1:10" ht="15">
      <c r="A37" s="13">
        <v>32</v>
      </c>
      <c r="B37" s="9" t="s">
        <v>44</v>
      </c>
      <c r="C37" s="18" t="s">
        <v>33</v>
      </c>
      <c r="D37" s="11">
        <f t="shared" si="0"/>
        <v>17.002470000000002</v>
      </c>
      <c r="E37" s="12">
        <f>129.1*0.1317</f>
        <v>17.002470000000002</v>
      </c>
      <c r="F37" s="11">
        <v>0</v>
      </c>
      <c r="G37" s="11"/>
      <c r="I37" s="7"/>
      <c r="J37" s="7"/>
    </row>
    <row r="38" spans="1:10" ht="15">
      <c r="A38" s="13">
        <v>33</v>
      </c>
      <c r="B38" s="9" t="s">
        <v>45</v>
      </c>
      <c r="C38" s="18" t="s">
        <v>33</v>
      </c>
      <c r="D38" s="11">
        <f t="shared" si="0"/>
        <v>24.30554</v>
      </c>
      <c r="E38" s="12">
        <f>124.9*0.1946</f>
        <v>24.30554</v>
      </c>
      <c r="F38" s="11">
        <v>0</v>
      </c>
      <c r="G38" s="11"/>
      <c r="I38" s="7"/>
      <c r="J38" s="7"/>
    </row>
    <row r="39" spans="1:10" ht="15">
      <c r="A39" s="13">
        <v>34</v>
      </c>
      <c r="B39" s="9" t="s">
        <v>46</v>
      </c>
      <c r="C39" s="18" t="s">
        <v>33</v>
      </c>
      <c r="D39" s="11">
        <f t="shared" si="0"/>
        <v>13.294680000000001</v>
      </c>
      <c r="E39" s="12">
        <f>205.8*0.0646</f>
        <v>13.294680000000001</v>
      </c>
      <c r="F39" s="11">
        <v>0</v>
      </c>
      <c r="G39" s="11"/>
      <c r="I39" s="7"/>
      <c r="J39" s="7"/>
    </row>
    <row r="40" spans="1:10" ht="15">
      <c r="A40" s="13">
        <v>35</v>
      </c>
      <c r="B40" s="9" t="s">
        <v>47</v>
      </c>
      <c r="C40" s="18" t="s">
        <v>33</v>
      </c>
      <c r="D40" s="11">
        <f t="shared" si="0"/>
        <v>23.10282</v>
      </c>
      <c r="E40" s="12">
        <f>219.4*0.1053</f>
        <v>23.10282</v>
      </c>
      <c r="F40" s="11">
        <v>0</v>
      </c>
      <c r="G40" s="16"/>
      <c r="I40" s="7"/>
      <c r="J40" s="7"/>
    </row>
    <row r="41" spans="1:10" ht="15">
      <c r="A41" s="13">
        <v>36</v>
      </c>
      <c r="B41" s="9" t="s">
        <v>48</v>
      </c>
      <c r="C41" s="18" t="s">
        <v>33</v>
      </c>
      <c r="D41" s="11">
        <f t="shared" si="0"/>
        <v>24.995099999999997</v>
      </c>
      <c r="E41" s="12">
        <f>226.2*0.1105</f>
        <v>24.995099999999997</v>
      </c>
      <c r="F41" s="11">
        <v>0</v>
      </c>
      <c r="G41" s="11"/>
      <c r="I41" s="7"/>
      <c r="J41" s="7"/>
    </row>
    <row r="42" spans="1:10" ht="15">
      <c r="A42" s="13">
        <v>37</v>
      </c>
      <c r="B42" s="9" t="s">
        <v>49</v>
      </c>
      <c r="C42" s="18" t="s">
        <v>33</v>
      </c>
      <c r="D42" s="11">
        <f t="shared" si="0"/>
        <v>12.40388</v>
      </c>
      <c r="E42" s="12">
        <f>98.6*0.1258</f>
        <v>12.40388</v>
      </c>
      <c r="F42" s="11">
        <v>0</v>
      </c>
      <c r="G42" s="11"/>
      <c r="I42" s="7"/>
      <c r="J42" s="7"/>
    </row>
    <row r="43" spans="1:10" ht="15">
      <c r="A43" s="13">
        <v>38</v>
      </c>
      <c r="B43" s="9" t="s">
        <v>50</v>
      </c>
      <c r="C43" s="18" t="s">
        <v>33</v>
      </c>
      <c r="D43" s="11">
        <f t="shared" si="0"/>
        <v>11.00291</v>
      </c>
      <c r="E43" s="12">
        <f>100.3*0.1097</f>
        <v>11.00291</v>
      </c>
      <c r="F43" s="11">
        <v>0</v>
      </c>
      <c r="G43" s="11"/>
      <c r="I43" s="7"/>
      <c r="J43" s="7"/>
    </row>
    <row r="44" spans="1:10" ht="15">
      <c r="A44" s="13">
        <v>39</v>
      </c>
      <c r="B44" s="9" t="s">
        <v>51</v>
      </c>
      <c r="C44" s="18" t="s">
        <v>33</v>
      </c>
      <c r="D44" s="11">
        <f t="shared" si="0"/>
        <v>22.21202</v>
      </c>
      <c r="E44" s="12">
        <f>250.7*0.0886</f>
        <v>22.21202</v>
      </c>
      <c r="F44" s="11">
        <v>0</v>
      </c>
      <c r="G44" s="11"/>
      <c r="I44" s="7"/>
      <c r="J44" s="7"/>
    </row>
    <row r="45" spans="1:10" ht="15">
      <c r="A45" s="13">
        <v>40</v>
      </c>
      <c r="B45" s="9" t="s">
        <v>52</v>
      </c>
      <c r="C45" s="18" t="s">
        <v>33</v>
      </c>
      <c r="D45" s="11">
        <f t="shared" si="0"/>
        <v>23.301389999999998</v>
      </c>
      <c r="E45" s="12">
        <f>181.9*0.1281</f>
        <v>23.301389999999998</v>
      </c>
      <c r="F45" s="11">
        <v>0</v>
      </c>
      <c r="G45" s="11"/>
      <c r="I45" s="7"/>
      <c r="J45" s="7"/>
    </row>
    <row r="46" spans="1:10" ht="15">
      <c r="A46" s="13">
        <v>41</v>
      </c>
      <c r="B46" s="9" t="s">
        <v>53</v>
      </c>
      <c r="C46" s="18" t="s">
        <v>33</v>
      </c>
      <c r="D46" s="11">
        <f t="shared" si="0"/>
        <v>49.593239999999994</v>
      </c>
      <c r="E46" s="12">
        <f>416.4*0.1191</f>
        <v>49.593239999999994</v>
      </c>
      <c r="F46" s="11">
        <v>0</v>
      </c>
      <c r="G46" s="11"/>
      <c r="I46" s="7"/>
      <c r="J46" s="7"/>
    </row>
    <row r="47" spans="1:10" ht="15">
      <c r="A47" s="13">
        <v>42</v>
      </c>
      <c r="B47" s="9" t="s">
        <v>54</v>
      </c>
      <c r="C47" s="18" t="s">
        <v>33</v>
      </c>
      <c r="D47" s="11">
        <f t="shared" si="0"/>
        <v>29</v>
      </c>
      <c r="E47" s="12">
        <v>29</v>
      </c>
      <c r="F47" s="11">
        <v>0</v>
      </c>
      <c r="G47" s="16"/>
      <c r="I47" s="7"/>
      <c r="J47" s="7"/>
    </row>
    <row r="48" spans="1:10" ht="15">
      <c r="A48" s="13">
        <v>43</v>
      </c>
      <c r="B48" s="9" t="s">
        <v>55</v>
      </c>
      <c r="C48" s="18" t="s">
        <v>33</v>
      </c>
      <c r="D48" s="11">
        <f t="shared" si="0"/>
        <v>14.899860000000002</v>
      </c>
      <c r="E48" s="12">
        <f>140.3*0.1062</f>
        <v>14.899860000000002</v>
      </c>
      <c r="F48" s="11">
        <v>0</v>
      </c>
      <c r="G48" s="11"/>
      <c r="I48" s="7"/>
      <c r="J48" s="7"/>
    </row>
    <row r="49" spans="1:10" ht="15">
      <c r="A49" s="13">
        <v>44</v>
      </c>
      <c r="B49" s="9" t="s">
        <v>56</v>
      </c>
      <c r="C49" s="18" t="s">
        <v>33</v>
      </c>
      <c r="D49" s="11">
        <f t="shared" si="0"/>
        <v>14.20529</v>
      </c>
      <c r="E49" s="12">
        <f>145.1*0.0979</f>
        <v>14.20529</v>
      </c>
      <c r="F49" s="11">
        <v>0</v>
      </c>
      <c r="G49" s="11"/>
      <c r="I49" s="7"/>
      <c r="J49" s="7"/>
    </row>
    <row r="50" spans="1:10" ht="15">
      <c r="A50" s="13">
        <v>45</v>
      </c>
      <c r="B50" s="9" t="s">
        <v>57</v>
      </c>
      <c r="C50" s="18" t="s">
        <v>33</v>
      </c>
      <c r="D50" s="11">
        <f t="shared" si="0"/>
        <v>24.0051</v>
      </c>
      <c r="E50" s="12">
        <f>213*0.1127</f>
        <v>24.0051</v>
      </c>
      <c r="F50" s="11">
        <v>0</v>
      </c>
      <c r="G50" s="11"/>
      <c r="I50" s="7"/>
      <c r="J50" s="7"/>
    </row>
    <row r="51" spans="1:10" ht="15">
      <c r="A51" s="13">
        <v>46</v>
      </c>
      <c r="B51" s="9" t="s">
        <v>58</v>
      </c>
      <c r="C51" s="10" t="s">
        <v>11</v>
      </c>
      <c r="D51" s="11">
        <f t="shared" si="0"/>
        <v>34.914179999999995</v>
      </c>
      <c r="E51" s="12">
        <f>407.4*0.0857</f>
        <v>34.914179999999995</v>
      </c>
      <c r="F51" s="11">
        <v>0</v>
      </c>
      <c r="G51" s="11"/>
      <c r="I51" s="7"/>
      <c r="J51" s="7"/>
    </row>
    <row r="52" spans="1:10" ht="15">
      <c r="A52" s="13">
        <v>47</v>
      </c>
      <c r="B52" s="9" t="s">
        <v>59</v>
      </c>
      <c r="C52" s="10" t="s">
        <v>11</v>
      </c>
      <c r="D52" s="11">
        <f t="shared" si="0"/>
        <v>46.39587</v>
      </c>
      <c r="E52" s="12">
        <f>369.1*0.1257</f>
        <v>46.39587</v>
      </c>
      <c r="F52" s="11">
        <v>0</v>
      </c>
      <c r="G52" s="11"/>
      <c r="I52" s="7"/>
      <c r="J52" s="7"/>
    </row>
    <row r="53" spans="1:10" ht="15">
      <c r="A53" s="13">
        <v>48</v>
      </c>
      <c r="B53" s="9" t="s">
        <v>60</v>
      </c>
      <c r="C53" s="10" t="s">
        <v>61</v>
      </c>
      <c r="D53" s="11">
        <f t="shared" si="0"/>
        <v>44.2</v>
      </c>
      <c r="E53" s="20">
        <v>44.2</v>
      </c>
      <c r="F53" s="11">
        <v>0</v>
      </c>
      <c r="G53" s="11"/>
      <c r="I53" s="7"/>
      <c r="J53" s="7"/>
    </row>
    <row r="54" spans="1:10" ht="15">
      <c r="A54" s="13">
        <v>49</v>
      </c>
      <c r="B54" s="9" t="s">
        <v>62</v>
      </c>
      <c r="C54" s="10" t="s">
        <v>61</v>
      </c>
      <c r="D54" s="11">
        <f t="shared" si="0"/>
        <v>23.5027</v>
      </c>
      <c r="E54" s="12">
        <f>179*0.1313</f>
        <v>23.5027</v>
      </c>
      <c r="F54" s="11">
        <v>0</v>
      </c>
      <c r="G54" s="11"/>
      <c r="I54" s="7"/>
      <c r="J54" s="7"/>
    </row>
    <row r="55" spans="1:10" ht="15">
      <c r="A55" s="13">
        <v>50</v>
      </c>
      <c r="B55" s="9" t="s">
        <v>63</v>
      </c>
      <c r="C55" s="10" t="s">
        <v>61</v>
      </c>
      <c r="D55" s="11">
        <f t="shared" si="0"/>
        <v>27.1033</v>
      </c>
      <c r="E55" s="12">
        <f>217*0.1249</f>
        <v>27.1033</v>
      </c>
      <c r="F55" s="11">
        <v>0</v>
      </c>
      <c r="G55" s="11"/>
      <c r="I55" s="7"/>
      <c r="J55" s="7"/>
    </row>
    <row r="56" spans="1:10" ht="15">
      <c r="A56" s="13">
        <v>51</v>
      </c>
      <c r="B56" s="9" t="s">
        <v>64</v>
      </c>
      <c r="C56" s="10" t="s">
        <v>61</v>
      </c>
      <c r="D56" s="11">
        <f t="shared" si="0"/>
        <v>19.90427</v>
      </c>
      <c r="E56" s="12">
        <f>176.3*0.1129</f>
        <v>19.90427</v>
      </c>
      <c r="F56" s="11">
        <v>0</v>
      </c>
      <c r="G56" s="11"/>
      <c r="I56" s="7"/>
      <c r="J56" s="7"/>
    </row>
    <row r="57" spans="1:10" ht="15">
      <c r="A57" s="13">
        <v>52</v>
      </c>
      <c r="B57" s="9" t="s">
        <v>65</v>
      </c>
      <c r="C57" s="10" t="s">
        <v>61</v>
      </c>
      <c r="D57" s="11">
        <f t="shared" si="0"/>
        <v>16.00274</v>
      </c>
      <c r="E57" s="12">
        <f>201.8*0.0793</f>
        <v>16.00274</v>
      </c>
      <c r="F57" s="11">
        <v>0</v>
      </c>
      <c r="G57" s="11"/>
      <c r="I57" s="7"/>
      <c r="J57" s="7"/>
    </row>
    <row r="58" spans="1:10" ht="25.5">
      <c r="A58" s="13">
        <v>53</v>
      </c>
      <c r="B58" s="9" t="s">
        <v>66</v>
      </c>
      <c r="C58" s="18" t="s">
        <v>61</v>
      </c>
      <c r="D58" s="11">
        <f t="shared" si="0"/>
        <v>13.14874</v>
      </c>
      <c r="E58" s="15">
        <v>13.14874</v>
      </c>
      <c r="F58" s="11">
        <v>0</v>
      </c>
      <c r="G58" s="16" t="s">
        <v>67</v>
      </c>
      <c r="I58" s="7"/>
      <c r="J58" s="7"/>
    </row>
    <row r="59" spans="1:10" ht="25.5">
      <c r="A59" s="13">
        <v>54</v>
      </c>
      <c r="B59" s="9" t="s">
        <v>68</v>
      </c>
      <c r="C59" s="10" t="s">
        <v>61</v>
      </c>
      <c r="D59" s="11">
        <f t="shared" si="0"/>
        <v>14.36886</v>
      </c>
      <c r="E59" s="15">
        <v>14.36886</v>
      </c>
      <c r="F59" s="11">
        <v>0</v>
      </c>
      <c r="G59" s="16" t="s">
        <v>67</v>
      </c>
      <c r="I59" s="7"/>
      <c r="J59" s="7"/>
    </row>
    <row r="60" spans="1:10" ht="15">
      <c r="A60" s="13">
        <v>55</v>
      </c>
      <c r="B60" s="9" t="s">
        <v>69</v>
      </c>
      <c r="C60" s="10" t="s">
        <v>61</v>
      </c>
      <c r="D60" s="11">
        <f t="shared" si="0"/>
        <v>29.089470000000002</v>
      </c>
      <c r="E60" s="12">
        <f>288.3*0.1009</f>
        <v>29.089470000000002</v>
      </c>
      <c r="F60" s="11">
        <v>0</v>
      </c>
      <c r="G60" s="12"/>
      <c r="I60" s="7"/>
      <c r="J60" s="7"/>
    </row>
    <row r="61" spans="1:10" ht="15">
      <c r="A61" s="13">
        <v>56</v>
      </c>
      <c r="B61" s="9" t="s">
        <v>70</v>
      </c>
      <c r="C61" s="10" t="s">
        <v>61</v>
      </c>
      <c r="D61" s="11">
        <f t="shared" si="0"/>
        <v>25.291349999999998</v>
      </c>
      <c r="E61" s="12">
        <f>233.1*0.1085</f>
        <v>25.291349999999998</v>
      </c>
      <c r="F61" s="11">
        <v>0</v>
      </c>
      <c r="G61" s="16"/>
      <c r="I61" s="7"/>
      <c r="J61" s="7"/>
    </row>
    <row r="62" spans="1:10" ht="15">
      <c r="A62" s="13">
        <v>57</v>
      </c>
      <c r="B62" s="9" t="s">
        <v>71</v>
      </c>
      <c r="C62" s="10" t="s">
        <v>61</v>
      </c>
      <c r="D62" s="11">
        <f t="shared" si="0"/>
        <v>32.486489999999996</v>
      </c>
      <c r="E62" s="21">
        <f>374.7*0.0867</f>
        <v>32.486489999999996</v>
      </c>
      <c r="F62" s="11">
        <v>0</v>
      </c>
      <c r="G62" s="11"/>
      <c r="I62" s="7"/>
      <c r="J62" s="7"/>
    </row>
    <row r="63" spans="1:10" ht="25.5">
      <c r="A63" s="13">
        <v>58</v>
      </c>
      <c r="B63" s="9" t="s">
        <v>72</v>
      </c>
      <c r="C63" s="10" t="s">
        <v>61</v>
      </c>
      <c r="D63" s="11">
        <f t="shared" si="0"/>
        <v>12.152175166666668</v>
      </c>
      <c r="E63" s="15">
        <v>12.152175166666668</v>
      </c>
      <c r="F63" s="11">
        <v>0</v>
      </c>
      <c r="G63" s="16" t="s">
        <v>67</v>
      </c>
      <c r="I63" s="7"/>
      <c r="J63" s="7"/>
    </row>
    <row r="64" spans="1:10" ht="15">
      <c r="A64" s="13">
        <v>59</v>
      </c>
      <c r="B64" s="9" t="s">
        <v>73</v>
      </c>
      <c r="C64" s="10" t="s">
        <v>61</v>
      </c>
      <c r="D64" s="11">
        <f t="shared" si="0"/>
        <v>6.797960000000001</v>
      </c>
      <c r="E64" s="12">
        <f>76.9*0.0884</f>
        <v>6.797960000000001</v>
      </c>
      <c r="F64" s="11">
        <v>0</v>
      </c>
      <c r="G64" s="11"/>
      <c r="I64" s="7"/>
      <c r="J64" s="7"/>
    </row>
    <row r="65" spans="1:10" ht="15">
      <c r="A65" s="13">
        <v>60</v>
      </c>
      <c r="B65" s="9" t="s">
        <v>74</v>
      </c>
      <c r="C65" s="10" t="s">
        <v>61</v>
      </c>
      <c r="D65" s="11">
        <f t="shared" si="0"/>
        <v>19.702659999999998</v>
      </c>
      <c r="E65" s="12">
        <f>283.9*0.0694</f>
        <v>19.702659999999998</v>
      </c>
      <c r="F65" s="11">
        <v>0</v>
      </c>
      <c r="G65" s="11"/>
      <c r="I65" s="7"/>
      <c r="J65" s="7"/>
    </row>
    <row r="66" spans="1:10" ht="15">
      <c r="A66" s="13">
        <v>61</v>
      </c>
      <c r="B66" s="9" t="s">
        <v>75</v>
      </c>
      <c r="C66" s="10" t="s">
        <v>61</v>
      </c>
      <c r="D66" s="11">
        <f t="shared" si="0"/>
        <v>33.51046</v>
      </c>
      <c r="E66" s="12">
        <f>425.8*0.0787</f>
        <v>33.51046</v>
      </c>
      <c r="F66" s="11">
        <v>0</v>
      </c>
      <c r="G66" s="11"/>
      <c r="I66" s="7"/>
      <c r="J66" s="7"/>
    </row>
    <row r="67" spans="1:10" ht="15">
      <c r="A67" s="13">
        <v>62</v>
      </c>
      <c r="B67" s="9" t="s">
        <v>76</v>
      </c>
      <c r="C67" s="10" t="s">
        <v>61</v>
      </c>
      <c r="D67" s="11">
        <f t="shared" si="0"/>
        <v>52.39127</v>
      </c>
      <c r="E67" s="12">
        <f>402.7*0.1301</f>
        <v>52.39127</v>
      </c>
      <c r="F67" s="11">
        <v>0</v>
      </c>
      <c r="G67" s="11"/>
      <c r="I67" s="7"/>
      <c r="J67" s="7"/>
    </row>
    <row r="68" spans="1:10" ht="15">
      <c r="A68" s="13">
        <v>63</v>
      </c>
      <c r="B68" s="9" t="s">
        <v>77</v>
      </c>
      <c r="C68" s="10" t="s">
        <v>61</v>
      </c>
      <c r="D68" s="11">
        <f t="shared" si="0"/>
        <v>41.685900000000004</v>
      </c>
      <c r="E68" s="12">
        <f>491*0.0849</f>
        <v>41.685900000000004</v>
      </c>
      <c r="F68" s="11">
        <v>0</v>
      </c>
      <c r="G68" s="11"/>
      <c r="I68" s="7"/>
      <c r="J68" s="7"/>
    </row>
    <row r="69" spans="1:10" ht="15">
      <c r="A69" s="13">
        <v>64</v>
      </c>
      <c r="B69" s="9" t="s">
        <v>78</v>
      </c>
      <c r="C69" s="10" t="s">
        <v>61</v>
      </c>
      <c r="D69" s="11">
        <f t="shared" si="0"/>
        <v>42.00984</v>
      </c>
      <c r="E69" s="12">
        <f>432.2*0.0972</f>
        <v>42.00984</v>
      </c>
      <c r="F69" s="11">
        <v>0</v>
      </c>
      <c r="G69" s="11"/>
      <c r="I69" s="7"/>
      <c r="J69" s="7"/>
    </row>
    <row r="70" spans="1:10" ht="25.5">
      <c r="A70" s="13">
        <v>65</v>
      </c>
      <c r="B70" s="9" t="s">
        <v>79</v>
      </c>
      <c r="C70" s="10" t="s">
        <v>61</v>
      </c>
      <c r="D70" s="11">
        <f t="shared" si="0"/>
        <v>28.173896666666668</v>
      </c>
      <c r="E70" s="15">
        <v>28.173896666666668</v>
      </c>
      <c r="F70" s="11">
        <v>0</v>
      </c>
      <c r="G70" s="16" t="s">
        <v>67</v>
      </c>
      <c r="I70" s="7"/>
      <c r="J70" s="7"/>
    </row>
    <row r="71" spans="1:10" ht="25.5">
      <c r="A71" s="13">
        <v>66</v>
      </c>
      <c r="B71" s="9" t="s">
        <v>80</v>
      </c>
      <c r="C71" s="10" t="s">
        <v>61</v>
      </c>
      <c r="D71" s="11">
        <f>E71</f>
        <v>11.697334166666666</v>
      </c>
      <c r="E71" s="15">
        <v>11.697334166666666</v>
      </c>
      <c r="F71" s="11">
        <v>0</v>
      </c>
      <c r="G71" s="16" t="s">
        <v>67</v>
      </c>
      <c r="I71" s="7"/>
      <c r="J71" s="7"/>
    </row>
    <row r="72" spans="1:10" ht="25.5">
      <c r="A72" s="13">
        <v>67</v>
      </c>
      <c r="B72" s="9" t="s">
        <v>81</v>
      </c>
      <c r="C72" s="10" t="s">
        <v>61</v>
      </c>
      <c r="D72" s="11">
        <f>E72</f>
        <v>35.28767083333333</v>
      </c>
      <c r="E72" s="15">
        <v>35.28767083333333</v>
      </c>
      <c r="F72" s="11">
        <v>0</v>
      </c>
      <c r="G72" s="16" t="s">
        <v>67</v>
      </c>
      <c r="I72" s="7"/>
      <c r="J72" s="7"/>
    </row>
    <row r="73" spans="1:10" ht="15">
      <c r="A73" s="13">
        <v>68</v>
      </c>
      <c r="B73" s="9" t="s">
        <v>82</v>
      </c>
      <c r="C73" s="10" t="s">
        <v>83</v>
      </c>
      <c r="D73" s="11">
        <f aca="true" t="shared" si="1" ref="D73:D136">E73</f>
        <v>17.6157</v>
      </c>
      <c r="E73" s="12">
        <f>207*0.0851</f>
        <v>17.6157</v>
      </c>
      <c r="F73" s="11">
        <v>0</v>
      </c>
      <c r="G73" s="11"/>
      <c r="I73" s="7"/>
      <c r="J73" s="7"/>
    </row>
    <row r="74" spans="1:10" ht="15">
      <c r="A74" s="13">
        <v>69</v>
      </c>
      <c r="B74" s="9" t="s">
        <v>84</v>
      </c>
      <c r="C74" s="10" t="s">
        <v>83</v>
      </c>
      <c r="D74" s="11">
        <f t="shared" si="1"/>
        <v>26.895155</v>
      </c>
      <c r="E74" s="12">
        <f>280.45*0.0959</f>
        <v>26.895155</v>
      </c>
      <c r="F74" s="11">
        <v>0</v>
      </c>
      <c r="G74" s="11"/>
      <c r="I74" s="7"/>
      <c r="J74" s="7"/>
    </row>
    <row r="75" spans="1:10" ht="15">
      <c r="A75" s="13">
        <v>70</v>
      </c>
      <c r="B75" s="9" t="s">
        <v>85</v>
      </c>
      <c r="C75" s="18" t="s">
        <v>83</v>
      </c>
      <c r="D75" s="11">
        <f t="shared" si="1"/>
        <v>24.8994</v>
      </c>
      <c r="E75" s="12">
        <f>162*0.1537</f>
        <v>24.8994</v>
      </c>
      <c r="F75" s="11">
        <v>0</v>
      </c>
      <c r="G75" s="16"/>
      <c r="I75" s="7"/>
      <c r="J75" s="7"/>
    </row>
    <row r="76" spans="1:10" ht="15">
      <c r="A76" s="13">
        <v>71</v>
      </c>
      <c r="B76" s="9" t="s">
        <v>86</v>
      </c>
      <c r="C76" s="18" t="s">
        <v>83</v>
      </c>
      <c r="D76" s="11">
        <f t="shared" si="1"/>
        <v>23.2042</v>
      </c>
      <c r="E76" s="12">
        <f>181*0.1282</f>
        <v>23.2042</v>
      </c>
      <c r="F76" s="11">
        <v>0</v>
      </c>
      <c r="G76" s="16"/>
      <c r="I76" s="7"/>
      <c r="J76" s="7"/>
    </row>
    <row r="77" spans="1:10" ht="15">
      <c r="A77" s="13">
        <v>72</v>
      </c>
      <c r="B77" s="9" t="s">
        <v>87</v>
      </c>
      <c r="C77" s="18" t="s">
        <v>83</v>
      </c>
      <c r="D77" s="11">
        <f t="shared" si="1"/>
        <v>48.60114</v>
      </c>
      <c r="E77" s="22">
        <f>569.1*0.0854</f>
        <v>48.60114</v>
      </c>
      <c r="F77" s="11">
        <v>0</v>
      </c>
      <c r="G77" s="16"/>
      <c r="I77" s="7"/>
      <c r="J77" s="7"/>
    </row>
    <row r="78" spans="1:10" ht="25.5">
      <c r="A78" s="13">
        <v>73</v>
      </c>
      <c r="B78" s="9" t="s">
        <v>88</v>
      </c>
      <c r="C78" s="10" t="s">
        <v>83</v>
      </c>
      <c r="D78" s="11">
        <f t="shared" si="1"/>
        <v>12.46729</v>
      </c>
      <c r="E78" s="23">
        <v>12.46729</v>
      </c>
      <c r="F78" s="11">
        <v>0</v>
      </c>
      <c r="G78" s="16" t="s">
        <v>17</v>
      </c>
      <c r="I78" s="7"/>
      <c r="J78" s="7"/>
    </row>
    <row r="79" spans="1:10" ht="15">
      <c r="A79" s="13">
        <v>74</v>
      </c>
      <c r="B79" s="9" t="s">
        <v>89</v>
      </c>
      <c r="C79" s="18" t="s">
        <v>83</v>
      </c>
      <c r="D79" s="11">
        <f t="shared" si="1"/>
        <v>53.82115999999999</v>
      </c>
      <c r="E79" s="22">
        <f>650.8*0.0827</f>
        <v>53.82115999999999</v>
      </c>
      <c r="F79" s="11">
        <v>0</v>
      </c>
      <c r="G79" s="16"/>
      <c r="I79" s="7"/>
      <c r="J79" s="7"/>
    </row>
    <row r="80" spans="1:10" ht="15">
      <c r="A80" s="13">
        <v>75</v>
      </c>
      <c r="B80" s="9" t="s">
        <v>90</v>
      </c>
      <c r="C80" s="10" t="s">
        <v>83</v>
      </c>
      <c r="D80" s="11">
        <f t="shared" si="1"/>
        <v>13.6988</v>
      </c>
      <c r="E80" s="22">
        <f>92*0.1489</f>
        <v>13.6988</v>
      </c>
      <c r="F80" s="11">
        <v>0</v>
      </c>
      <c r="G80" s="16"/>
      <c r="I80" s="7"/>
      <c r="J80" s="7"/>
    </row>
    <row r="81" spans="1:10" ht="15">
      <c r="A81" s="13">
        <v>76</v>
      </c>
      <c r="B81" s="9" t="s">
        <v>91</v>
      </c>
      <c r="C81" s="10" t="s">
        <v>83</v>
      </c>
      <c r="D81" s="11">
        <f t="shared" si="1"/>
        <v>12.303360000000001</v>
      </c>
      <c r="E81" s="22">
        <f>86.4*0.1424</f>
        <v>12.303360000000001</v>
      </c>
      <c r="F81" s="11">
        <v>0</v>
      </c>
      <c r="G81" s="16"/>
      <c r="I81" s="7"/>
      <c r="J81" s="7"/>
    </row>
    <row r="82" spans="1:10" ht="15">
      <c r="A82" s="13">
        <v>77</v>
      </c>
      <c r="B82" s="9" t="s">
        <v>92</v>
      </c>
      <c r="C82" s="10" t="s">
        <v>83</v>
      </c>
      <c r="D82" s="11">
        <f t="shared" si="1"/>
        <v>25.10664</v>
      </c>
      <c r="E82" s="12">
        <f>247.6*0.1014</f>
        <v>25.10664</v>
      </c>
      <c r="F82" s="11">
        <v>0</v>
      </c>
      <c r="G82" s="11"/>
      <c r="I82" s="7"/>
      <c r="J82" s="7"/>
    </row>
    <row r="83" spans="1:10" ht="15">
      <c r="A83" s="13">
        <v>78</v>
      </c>
      <c r="B83" s="9" t="s">
        <v>93</v>
      </c>
      <c r="C83" s="10" t="s">
        <v>83</v>
      </c>
      <c r="D83" s="11">
        <f t="shared" si="1"/>
        <v>19.4028</v>
      </c>
      <c r="E83" s="12">
        <f>138*0.1406</f>
        <v>19.4028</v>
      </c>
      <c r="F83" s="11">
        <v>0</v>
      </c>
      <c r="G83" s="11"/>
      <c r="I83" s="7"/>
      <c r="J83" s="7"/>
    </row>
    <row r="84" spans="1:10" ht="15">
      <c r="A84" s="13">
        <v>79</v>
      </c>
      <c r="B84" s="9" t="s">
        <v>94</v>
      </c>
      <c r="C84" s="10" t="s">
        <v>83</v>
      </c>
      <c r="D84" s="11">
        <f t="shared" si="1"/>
        <v>23.29119</v>
      </c>
      <c r="E84" s="12">
        <f>198.9*0.1171</f>
        <v>23.29119</v>
      </c>
      <c r="F84" s="11">
        <v>0</v>
      </c>
      <c r="G84" s="16"/>
      <c r="I84" s="7"/>
      <c r="J84" s="7"/>
    </row>
    <row r="85" spans="1:10" ht="15">
      <c r="A85" s="13">
        <v>80</v>
      </c>
      <c r="B85" s="9" t="s">
        <v>95</v>
      </c>
      <c r="C85" s="10" t="s">
        <v>83</v>
      </c>
      <c r="D85" s="11">
        <f t="shared" si="1"/>
        <v>24.588710000000003</v>
      </c>
      <c r="E85" s="12">
        <f>279.1*0.0881</f>
        <v>24.588710000000003</v>
      </c>
      <c r="F85" s="11">
        <v>0</v>
      </c>
      <c r="G85" s="11"/>
      <c r="I85" s="7"/>
      <c r="J85" s="7"/>
    </row>
    <row r="86" spans="1:10" ht="15">
      <c r="A86" s="13">
        <v>81</v>
      </c>
      <c r="B86" s="9" t="s">
        <v>96</v>
      </c>
      <c r="C86" s="10" t="s">
        <v>83</v>
      </c>
      <c r="D86" s="11">
        <f t="shared" si="1"/>
        <v>27.606720000000003</v>
      </c>
      <c r="E86" s="12">
        <f>178.8*0.1544</f>
        <v>27.606720000000003</v>
      </c>
      <c r="F86" s="11">
        <v>0</v>
      </c>
      <c r="G86" s="11"/>
      <c r="I86" s="7"/>
      <c r="J86" s="7"/>
    </row>
    <row r="87" spans="1:10" ht="15">
      <c r="A87" s="13">
        <v>82</v>
      </c>
      <c r="B87" s="9" t="s">
        <v>97</v>
      </c>
      <c r="C87" s="10" t="s">
        <v>83</v>
      </c>
      <c r="D87" s="11">
        <f t="shared" si="1"/>
        <v>13.4964</v>
      </c>
      <c r="E87" s="12">
        <f>92*0.1467</f>
        <v>13.4964</v>
      </c>
      <c r="F87" s="11">
        <v>0</v>
      </c>
      <c r="G87" s="11"/>
      <c r="I87" s="7"/>
      <c r="J87" s="7"/>
    </row>
    <row r="88" spans="1:10" ht="15">
      <c r="A88" s="13">
        <v>83</v>
      </c>
      <c r="B88" s="9" t="s">
        <v>98</v>
      </c>
      <c r="C88" s="10" t="s">
        <v>83</v>
      </c>
      <c r="D88" s="11">
        <f t="shared" si="1"/>
        <v>13.3036</v>
      </c>
      <c r="E88" s="12">
        <f>79*0.1684</f>
        <v>13.3036</v>
      </c>
      <c r="F88" s="11">
        <v>0</v>
      </c>
      <c r="G88" s="24"/>
      <c r="I88" s="7"/>
      <c r="J88" s="7"/>
    </row>
    <row r="89" spans="1:10" ht="15">
      <c r="A89" s="13">
        <v>84</v>
      </c>
      <c r="B89" s="9" t="s">
        <v>99</v>
      </c>
      <c r="C89" s="10" t="s">
        <v>83</v>
      </c>
      <c r="D89" s="11">
        <f t="shared" si="1"/>
        <v>28.50552</v>
      </c>
      <c r="E89" s="12">
        <f>224.1*0.1272</f>
        <v>28.50552</v>
      </c>
      <c r="F89" s="11">
        <v>0</v>
      </c>
      <c r="G89" s="16"/>
      <c r="I89" s="7"/>
      <c r="J89" s="7"/>
    </row>
    <row r="90" spans="1:10" ht="15">
      <c r="A90" s="13">
        <v>85</v>
      </c>
      <c r="B90" s="9" t="s">
        <v>100</v>
      </c>
      <c r="C90" s="18" t="s">
        <v>83</v>
      </c>
      <c r="D90" s="11">
        <f t="shared" si="1"/>
        <v>10.30006</v>
      </c>
      <c r="E90" s="22">
        <f>89.8*0.1147</f>
        <v>10.30006</v>
      </c>
      <c r="F90" s="11">
        <v>0</v>
      </c>
      <c r="G90" s="16"/>
      <c r="I90" s="7"/>
      <c r="J90" s="7"/>
    </row>
    <row r="91" spans="1:10" ht="15">
      <c r="A91" s="13">
        <v>86</v>
      </c>
      <c r="B91" s="9" t="s">
        <v>101</v>
      </c>
      <c r="C91" s="10" t="s">
        <v>83</v>
      </c>
      <c r="D91" s="11">
        <f t="shared" si="1"/>
        <v>9.8016</v>
      </c>
      <c r="E91" s="22">
        <f>102.1*0.096</f>
        <v>9.8016</v>
      </c>
      <c r="F91" s="11">
        <v>0</v>
      </c>
      <c r="G91" s="16"/>
      <c r="I91" s="7"/>
      <c r="J91" s="7"/>
    </row>
    <row r="92" spans="1:10" ht="15">
      <c r="A92" s="13">
        <v>87</v>
      </c>
      <c r="B92" s="9" t="s">
        <v>102</v>
      </c>
      <c r="C92" s="18" t="s">
        <v>83</v>
      </c>
      <c r="D92" s="11">
        <f t="shared" si="1"/>
        <v>22.40217</v>
      </c>
      <c r="E92" s="22">
        <f>170.1*0.1317</f>
        <v>22.40217</v>
      </c>
      <c r="F92" s="11">
        <v>0</v>
      </c>
      <c r="G92" s="16"/>
      <c r="I92" s="7"/>
      <c r="J92" s="7"/>
    </row>
    <row r="93" spans="1:10" ht="15">
      <c r="A93" s="13">
        <v>88</v>
      </c>
      <c r="B93" s="9" t="s">
        <v>103</v>
      </c>
      <c r="C93" s="18" t="s">
        <v>83</v>
      </c>
      <c r="D93" s="11">
        <f t="shared" si="1"/>
        <v>23.496480000000002</v>
      </c>
      <c r="E93" s="22">
        <f>226.8*0.1036</f>
        <v>23.496480000000002</v>
      </c>
      <c r="F93" s="11">
        <v>0</v>
      </c>
      <c r="G93" s="16"/>
      <c r="I93" s="7"/>
      <c r="J93" s="7"/>
    </row>
    <row r="94" spans="1:10" ht="15">
      <c r="A94" s="13">
        <v>89</v>
      </c>
      <c r="B94" s="9" t="s">
        <v>104</v>
      </c>
      <c r="C94" s="18" t="s">
        <v>83</v>
      </c>
      <c r="D94" s="11">
        <f t="shared" si="1"/>
        <v>21.60565</v>
      </c>
      <c r="E94" s="22">
        <f>179.3*0.1205</f>
        <v>21.60565</v>
      </c>
      <c r="F94" s="11">
        <v>0</v>
      </c>
      <c r="G94" s="16"/>
      <c r="I94" s="7"/>
      <c r="J94" s="7"/>
    </row>
    <row r="95" spans="1:10" ht="15">
      <c r="A95" s="13">
        <v>90</v>
      </c>
      <c r="B95" s="9" t="s">
        <v>105</v>
      </c>
      <c r="C95" s="18" t="s">
        <v>106</v>
      </c>
      <c r="D95" s="11">
        <f t="shared" si="1"/>
        <v>10.088064</v>
      </c>
      <c r="E95" s="12">
        <f>155.68*0.0648</f>
        <v>10.088064</v>
      </c>
      <c r="F95" s="11">
        <v>0</v>
      </c>
      <c r="G95" s="25"/>
      <c r="I95" s="7"/>
      <c r="J95" s="7"/>
    </row>
    <row r="96" spans="1:10" ht="15">
      <c r="A96" s="13">
        <v>91</v>
      </c>
      <c r="B96" s="9" t="s">
        <v>107</v>
      </c>
      <c r="C96" s="10" t="s">
        <v>106</v>
      </c>
      <c r="D96" s="11">
        <f t="shared" si="1"/>
        <v>11.034276</v>
      </c>
      <c r="E96" s="12">
        <f>154.11*0.0716</f>
        <v>11.034276</v>
      </c>
      <c r="F96" s="11">
        <v>0</v>
      </c>
      <c r="G96" s="16"/>
      <c r="I96" s="7"/>
      <c r="J96" s="7"/>
    </row>
    <row r="97" spans="1:10" ht="15">
      <c r="A97" s="13">
        <v>92</v>
      </c>
      <c r="B97" s="9" t="s">
        <v>108</v>
      </c>
      <c r="C97" s="10" t="s">
        <v>106</v>
      </c>
      <c r="D97" s="11">
        <f t="shared" si="1"/>
        <v>20.1432</v>
      </c>
      <c r="E97" s="12">
        <f>381.5*0.0528</f>
        <v>20.1432</v>
      </c>
      <c r="F97" s="11">
        <v>0</v>
      </c>
      <c r="G97" s="11"/>
      <c r="I97" s="7"/>
      <c r="J97" s="7"/>
    </row>
    <row r="98" spans="1:10" ht="15">
      <c r="A98" s="13">
        <v>93</v>
      </c>
      <c r="B98" s="9" t="s">
        <v>109</v>
      </c>
      <c r="C98" s="18" t="s">
        <v>106</v>
      </c>
      <c r="D98" s="11">
        <f t="shared" si="1"/>
        <v>14.39424</v>
      </c>
      <c r="E98" s="19">
        <f>163.2*0.0882</f>
        <v>14.39424</v>
      </c>
      <c r="F98" s="11">
        <v>0</v>
      </c>
      <c r="G98" s="16"/>
      <c r="I98" s="7"/>
      <c r="J98" s="7"/>
    </row>
    <row r="99" spans="1:10" ht="15">
      <c r="A99" s="13">
        <v>94</v>
      </c>
      <c r="B99" s="9" t="s">
        <v>110</v>
      </c>
      <c r="C99" s="10" t="s">
        <v>106</v>
      </c>
      <c r="D99" s="11">
        <f t="shared" si="1"/>
        <v>15.12114</v>
      </c>
      <c r="E99" s="12">
        <f>333.8*0.0453</f>
        <v>15.12114</v>
      </c>
      <c r="F99" s="11">
        <v>0</v>
      </c>
      <c r="G99" s="16"/>
      <c r="I99" s="7"/>
      <c r="J99" s="7"/>
    </row>
    <row r="100" spans="1:10" ht="15">
      <c r="A100" s="13">
        <v>95</v>
      </c>
      <c r="B100" s="9" t="s">
        <v>111</v>
      </c>
      <c r="C100" s="10" t="s">
        <v>106</v>
      </c>
      <c r="D100" s="11">
        <f t="shared" si="1"/>
        <v>16.563019999999998</v>
      </c>
      <c r="E100" s="12">
        <f>239.35*0.0692</f>
        <v>16.563019999999998</v>
      </c>
      <c r="F100" s="11">
        <v>0</v>
      </c>
      <c r="G100" s="11"/>
      <c r="I100" s="7"/>
      <c r="J100" s="7"/>
    </row>
    <row r="101" spans="1:10" ht="15">
      <c r="A101" s="13">
        <v>96</v>
      </c>
      <c r="B101" s="9" t="s">
        <v>112</v>
      </c>
      <c r="C101" s="10" t="s">
        <v>106</v>
      </c>
      <c r="D101" s="11">
        <f t="shared" si="1"/>
        <v>32.59991</v>
      </c>
      <c r="E101" s="19">
        <f>257.3*0.1267</f>
        <v>32.59991</v>
      </c>
      <c r="F101" s="11">
        <v>0</v>
      </c>
      <c r="G101" s="16"/>
      <c r="I101" s="7"/>
      <c r="J101" s="7"/>
    </row>
    <row r="102" spans="1:10" ht="15">
      <c r="A102" s="13">
        <v>97</v>
      </c>
      <c r="B102" s="9" t="s">
        <v>113</v>
      </c>
      <c r="C102" s="10" t="s">
        <v>106</v>
      </c>
      <c r="D102" s="11">
        <f t="shared" si="1"/>
        <v>11.092081</v>
      </c>
      <c r="E102" s="12">
        <f>174.13*0.0637</f>
        <v>11.092081</v>
      </c>
      <c r="F102" s="11">
        <v>0</v>
      </c>
      <c r="G102" s="11"/>
      <c r="I102" s="7"/>
      <c r="J102" s="7"/>
    </row>
    <row r="103" spans="1:10" ht="15">
      <c r="A103" s="13">
        <v>98</v>
      </c>
      <c r="B103" s="9" t="s">
        <v>114</v>
      </c>
      <c r="C103" s="10" t="s">
        <v>106</v>
      </c>
      <c r="D103" s="11">
        <f t="shared" si="1"/>
        <v>18.390649</v>
      </c>
      <c r="E103" s="12">
        <f>323.21*0.0569</f>
        <v>18.390649</v>
      </c>
      <c r="F103" s="11">
        <v>0</v>
      </c>
      <c r="G103" s="11"/>
      <c r="I103" s="7"/>
      <c r="J103" s="7"/>
    </row>
    <row r="104" spans="1:10" ht="15">
      <c r="A104" s="13">
        <v>99</v>
      </c>
      <c r="B104" s="9" t="s">
        <v>115</v>
      </c>
      <c r="C104" s="10" t="s">
        <v>106</v>
      </c>
      <c r="D104" s="11">
        <f t="shared" si="1"/>
        <v>41.33664</v>
      </c>
      <c r="E104" s="12">
        <f>370.4*0.1116</f>
        <v>41.33664</v>
      </c>
      <c r="F104" s="11">
        <v>0</v>
      </c>
      <c r="G104" s="16"/>
      <c r="I104" s="7"/>
      <c r="J104" s="7"/>
    </row>
    <row r="105" spans="1:10" ht="15">
      <c r="A105" s="13">
        <v>100</v>
      </c>
      <c r="B105" s="9" t="s">
        <v>116</v>
      </c>
      <c r="C105" s="18" t="s">
        <v>33</v>
      </c>
      <c r="D105" s="11">
        <f t="shared" si="1"/>
        <v>50.60781</v>
      </c>
      <c r="E105" s="12">
        <f>320.1*0.1581</f>
        <v>50.60781</v>
      </c>
      <c r="F105" s="11">
        <v>0</v>
      </c>
      <c r="G105" s="16"/>
      <c r="I105" s="7"/>
      <c r="J105" s="7"/>
    </row>
    <row r="106" spans="1:10" ht="15">
      <c r="A106" s="13">
        <v>101</v>
      </c>
      <c r="B106" s="9" t="s">
        <v>117</v>
      </c>
      <c r="C106" s="18" t="s">
        <v>106</v>
      </c>
      <c r="D106" s="11">
        <f t="shared" si="1"/>
        <v>45.45663</v>
      </c>
      <c r="E106" s="11">
        <f>522.49*0.087</f>
        <v>45.45663</v>
      </c>
      <c r="F106" s="11">
        <v>0</v>
      </c>
      <c r="G106" s="16"/>
      <c r="I106" s="7"/>
      <c r="J106" s="7"/>
    </row>
    <row r="107" spans="1:10" ht="15">
      <c r="A107" s="13">
        <v>102</v>
      </c>
      <c r="B107" s="9" t="s">
        <v>118</v>
      </c>
      <c r="C107" s="10" t="s">
        <v>106</v>
      </c>
      <c r="D107" s="11">
        <f t="shared" si="1"/>
        <v>16.681130999999997</v>
      </c>
      <c r="E107" s="11">
        <f>316.53*0.0527</f>
        <v>16.681130999999997</v>
      </c>
      <c r="F107" s="11">
        <v>0</v>
      </c>
      <c r="G107" s="11"/>
      <c r="I107" s="7"/>
      <c r="J107" s="7"/>
    </row>
    <row r="108" spans="1:10" ht="15">
      <c r="A108" s="13">
        <v>103</v>
      </c>
      <c r="B108" s="9" t="s">
        <v>119</v>
      </c>
      <c r="C108" s="10" t="s">
        <v>106</v>
      </c>
      <c r="D108" s="11">
        <f t="shared" si="1"/>
        <v>19.896162</v>
      </c>
      <c r="E108" s="11">
        <f>231.89*0.0858</f>
        <v>19.896162</v>
      </c>
      <c r="F108" s="11">
        <v>0</v>
      </c>
      <c r="G108" s="11"/>
      <c r="I108" s="7"/>
      <c r="J108" s="7"/>
    </row>
    <row r="109" spans="1:10" ht="15">
      <c r="A109" s="13">
        <v>104</v>
      </c>
      <c r="B109" s="9" t="s">
        <v>120</v>
      </c>
      <c r="C109" s="18" t="s">
        <v>106</v>
      </c>
      <c r="D109" s="11">
        <f t="shared" si="1"/>
        <v>23.1426</v>
      </c>
      <c r="E109" s="11">
        <f>269.1*0.086</f>
        <v>23.1426</v>
      </c>
      <c r="F109" s="11">
        <v>0</v>
      </c>
      <c r="G109" s="16"/>
      <c r="I109" s="7"/>
      <c r="J109" s="7"/>
    </row>
    <row r="110" spans="1:10" ht="15">
      <c r="A110" s="13">
        <v>105</v>
      </c>
      <c r="B110" s="9" t="s">
        <v>121</v>
      </c>
      <c r="C110" s="18" t="s">
        <v>106</v>
      </c>
      <c r="D110" s="11">
        <f t="shared" si="1"/>
        <v>12.08196</v>
      </c>
      <c r="E110" s="11">
        <f>101.7*0.1188</f>
        <v>12.08196</v>
      </c>
      <c r="F110" s="11">
        <v>0</v>
      </c>
      <c r="G110" s="16"/>
      <c r="I110" s="7"/>
      <c r="J110" s="7"/>
    </row>
    <row r="111" spans="1:10" ht="15">
      <c r="A111" s="13">
        <v>106</v>
      </c>
      <c r="B111" s="9" t="s">
        <v>122</v>
      </c>
      <c r="C111" s="10" t="s">
        <v>106</v>
      </c>
      <c r="D111" s="11">
        <f t="shared" si="1"/>
        <v>22.817233</v>
      </c>
      <c r="E111" s="11">
        <f>196.87*0.1159</f>
        <v>22.817233</v>
      </c>
      <c r="F111" s="11">
        <v>0</v>
      </c>
      <c r="G111" s="11"/>
      <c r="I111" s="7"/>
      <c r="J111" s="7"/>
    </row>
    <row r="112" spans="1:10" ht="15">
      <c r="A112" s="13">
        <v>107</v>
      </c>
      <c r="B112" s="9" t="s">
        <v>123</v>
      </c>
      <c r="C112" s="10" t="s">
        <v>106</v>
      </c>
      <c r="D112" s="11">
        <f t="shared" si="1"/>
        <v>6.9851980000000005</v>
      </c>
      <c r="E112" s="11">
        <f>167.11*0.0418</f>
        <v>6.9851980000000005</v>
      </c>
      <c r="F112" s="11">
        <v>0</v>
      </c>
      <c r="G112" s="16"/>
      <c r="I112" s="7"/>
      <c r="J112" s="7"/>
    </row>
    <row r="113" spans="1:10" ht="15">
      <c r="A113" s="13">
        <v>108</v>
      </c>
      <c r="B113" s="9" t="s">
        <v>124</v>
      </c>
      <c r="C113" s="10" t="s">
        <v>106</v>
      </c>
      <c r="D113" s="11">
        <f t="shared" si="1"/>
        <v>9.62</v>
      </c>
      <c r="E113" s="11">
        <v>9.62</v>
      </c>
      <c r="F113" s="11">
        <v>0</v>
      </c>
      <c r="G113" s="16"/>
      <c r="I113" s="7"/>
      <c r="J113" s="7"/>
    </row>
    <row r="114" spans="1:10" ht="15">
      <c r="A114" s="13">
        <v>109</v>
      </c>
      <c r="B114" s="9" t="s">
        <v>125</v>
      </c>
      <c r="C114" s="10" t="s">
        <v>106</v>
      </c>
      <c r="D114" s="11">
        <f t="shared" si="1"/>
        <v>17.023188</v>
      </c>
      <c r="E114" s="11">
        <f>267.24*0.0637</f>
        <v>17.023188</v>
      </c>
      <c r="F114" s="11">
        <v>0</v>
      </c>
      <c r="G114" s="16"/>
      <c r="I114" s="7"/>
      <c r="J114" s="7"/>
    </row>
    <row r="115" spans="1:10" ht="15">
      <c r="A115" s="13">
        <v>110</v>
      </c>
      <c r="B115" s="9" t="s">
        <v>126</v>
      </c>
      <c r="C115" s="10" t="s">
        <v>106</v>
      </c>
      <c r="D115" s="11">
        <f t="shared" si="1"/>
        <v>12.136974</v>
      </c>
      <c r="E115" s="26">
        <f>144.66*0.0839</f>
        <v>12.136974</v>
      </c>
      <c r="F115" s="11">
        <v>0</v>
      </c>
      <c r="G115" s="26"/>
      <c r="I115" s="7"/>
      <c r="J115" s="7"/>
    </row>
    <row r="116" spans="1:10" ht="15">
      <c r="A116" s="13">
        <v>111</v>
      </c>
      <c r="B116" s="9" t="s">
        <v>127</v>
      </c>
      <c r="C116" s="18" t="s">
        <v>106</v>
      </c>
      <c r="D116" s="11">
        <f t="shared" si="1"/>
        <v>13.506066</v>
      </c>
      <c r="E116" s="11">
        <f>153.13*0.0882</f>
        <v>13.506066</v>
      </c>
      <c r="F116" s="11">
        <v>0</v>
      </c>
      <c r="G116" s="16"/>
      <c r="I116" s="7"/>
      <c r="J116" s="7"/>
    </row>
    <row r="117" spans="1:10" ht="15">
      <c r="A117" s="13">
        <v>112</v>
      </c>
      <c r="B117" s="9" t="s">
        <v>128</v>
      </c>
      <c r="C117" s="10" t="s">
        <v>106</v>
      </c>
      <c r="D117" s="11">
        <f t="shared" si="1"/>
        <v>17.6386</v>
      </c>
      <c r="E117" s="11">
        <f>293*0.0602</f>
        <v>17.6386</v>
      </c>
      <c r="F117" s="11">
        <v>0</v>
      </c>
      <c r="G117" s="11"/>
      <c r="I117" s="7"/>
      <c r="J117" s="7"/>
    </row>
    <row r="118" spans="1:10" ht="15">
      <c r="A118" s="13">
        <v>113</v>
      </c>
      <c r="B118" s="9" t="s">
        <v>129</v>
      </c>
      <c r="C118" s="10" t="s">
        <v>106</v>
      </c>
      <c r="D118" s="11">
        <f t="shared" si="1"/>
        <v>17.398017000000003</v>
      </c>
      <c r="E118" s="11">
        <f>256.23*0.0679</f>
        <v>17.398017000000003</v>
      </c>
      <c r="F118" s="11">
        <v>0</v>
      </c>
      <c r="G118" s="11"/>
      <c r="I118" s="7"/>
      <c r="J118" s="7"/>
    </row>
    <row r="119" spans="1:10" ht="15">
      <c r="A119" s="13">
        <v>114</v>
      </c>
      <c r="B119" s="9" t="s">
        <v>130</v>
      </c>
      <c r="C119" s="10" t="s">
        <v>106</v>
      </c>
      <c r="D119" s="11">
        <f t="shared" si="1"/>
        <v>33.28415999999999</v>
      </c>
      <c r="E119" s="11">
        <f>462.28*0.072</f>
        <v>33.28415999999999</v>
      </c>
      <c r="F119" s="11">
        <v>0</v>
      </c>
      <c r="G119" s="16"/>
      <c r="I119" s="7"/>
      <c r="J119" s="7"/>
    </row>
    <row r="120" spans="1:10" ht="15">
      <c r="A120" s="13">
        <v>115</v>
      </c>
      <c r="B120" s="9" t="s">
        <v>131</v>
      </c>
      <c r="C120" s="18" t="s">
        <v>132</v>
      </c>
      <c r="D120" s="11">
        <f t="shared" si="1"/>
        <v>45.533664</v>
      </c>
      <c r="E120" s="11">
        <f>431.19*0.1056</f>
        <v>45.533664</v>
      </c>
      <c r="F120" s="11">
        <v>0</v>
      </c>
      <c r="G120" s="16"/>
      <c r="I120" s="7"/>
      <c r="J120" s="7"/>
    </row>
    <row r="121" spans="1:10" ht="15">
      <c r="A121" s="13">
        <v>116</v>
      </c>
      <c r="B121" s="9" t="s">
        <v>133</v>
      </c>
      <c r="C121" s="10" t="s">
        <v>132</v>
      </c>
      <c r="D121" s="11">
        <f t="shared" si="1"/>
        <v>18.221968</v>
      </c>
      <c r="E121" s="11">
        <f>312.02*0.0584</f>
        <v>18.221968</v>
      </c>
      <c r="F121" s="11">
        <v>0</v>
      </c>
      <c r="G121" s="11"/>
      <c r="I121" s="7"/>
      <c r="J121" s="7"/>
    </row>
    <row r="122" spans="1:10" ht="15">
      <c r="A122" s="13">
        <v>117</v>
      </c>
      <c r="B122" s="9" t="s">
        <v>134</v>
      </c>
      <c r="C122" s="10" t="s">
        <v>132</v>
      </c>
      <c r="D122" s="11">
        <f t="shared" si="1"/>
        <v>8.144139</v>
      </c>
      <c r="E122" s="11">
        <f>90.39*0.0901</f>
        <v>8.144139</v>
      </c>
      <c r="F122" s="11">
        <v>0</v>
      </c>
      <c r="G122" s="11"/>
      <c r="I122" s="7"/>
      <c r="J122" s="7"/>
    </row>
    <row r="123" spans="1:10" ht="15">
      <c r="A123" s="13">
        <v>118</v>
      </c>
      <c r="B123" s="9" t="s">
        <v>135</v>
      </c>
      <c r="C123" s="10" t="s">
        <v>132</v>
      </c>
      <c r="D123" s="11">
        <f t="shared" si="1"/>
        <v>21.267225</v>
      </c>
      <c r="E123" s="11">
        <f>315.07*0.0675</f>
        <v>21.267225</v>
      </c>
      <c r="F123" s="11">
        <v>0</v>
      </c>
      <c r="G123" s="11"/>
      <c r="I123" s="7"/>
      <c r="J123" s="7"/>
    </row>
    <row r="124" spans="1:10" ht="15">
      <c r="A124" s="13">
        <v>119</v>
      </c>
      <c r="B124" s="9" t="s">
        <v>136</v>
      </c>
      <c r="C124" s="10" t="s">
        <v>132</v>
      </c>
      <c r="D124" s="11">
        <f t="shared" si="1"/>
        <v>27.193572</v>
      </c>
      <c r="E124" s="11">
        <f>384.09*0.0708</f>
        <v>27.193572</v>
      </c>
      <c r="F124" s="11">
        <v>0</v>
      </c>
      <c r="G124" s="16"/>
      <c r="I124" s="7"/>
      <c r="J124" s="7"/>
    </row>
    <row r="125" spans="1:10" ht="15">
      <c r="A125" s="13">
        <v>120</v>
      </c>
      <c r="B125" s="27" t="s">
        <v>137</v>
      </c>
      <c r="C125" s="10" t="s">
        <v>132</v>
      </c>
      <c r="D125" s="11">
        <f t="shared" si="1"/>
        <v>11.0871</v>
      </c>
      <c r="E125" s="11">
        <f>228.6*0.0485</f>
        <v>11.0871</v>
      </c>
      <c r="F125" s="11">
        <v>0</v>
      </c>
      <c r="G125" s="11"/>
      <c r="I125" s="7"/>
      <c r="J125" s="7"/>
    </row>
    <row r="126" spans="1:10" ht="15">
      <c r="A126" s="13">
        <v>121</v>
      </c>
      <c r="B126" s="9" t="s">
        <v>138</v>
      </c>
      <c r="C126" s="10" t="s">
        <v>132</v>
      </c>
      <c r="D126" s="11">
        <f t="shared" si="1"/>
        <v>10.159545</v>
      </c>
      <c r="E126" s="11">
        <f>137.85*0.0737</f>
        <v>10.159545</v>
      </c>
      <c r="F126" s="11">
        <v>0</v>
      </c>
      <c r="G126" s="16"/>
      <c r="I126" s="7"/>
      <c r="J126" s="7"/>
    </row>
    <row r="127" spans="1:10" ht="15">
      <c r="A127" s="13">
        <v>122</v>
      </c>
      <c r="B127" s="9" t="s">
        <v>139</v>
      </c>
      <c r="C127" s="18" t="s">
        <v>132</v>
      </c>
      <c r="D127" s="11">
        <f t="shared" si="1"/>
        <v>20.17818</v>
      </c>
      <c r="E127" s="11">
        <f>339.7*0.0594</f>
        <v>20.17818</v>
      </c>
      <c r="F127" s="11">
        <v>0</v>
      </c>
      <c r="G127" s="16"/>
      <c r="I127" s="7"/>
      <c r="J127" s="7"/>
    </row>
    <row r="128" spans="1:10" ht="15">
      <c r="A128" s="13">
        <v>123</v>
      </c>
      <c r="B128" s="9" t="s">
        <v>140</v>
      </c>
      <c r="C128" s="10" t="s">
        <v>132</v>
      </c>
      <c r="D128" s="11">
        <f t="shared" si="1"/>
        <v>19.536099000000004</v>
      </c>
      <c r="E128" s="11">
        <f>272.47*0.0717</f>
        <v>19.536099000000004</v>
      </c>
      <c r="F128" s="11">
        <v>0</v>
      </c>
      <c r="G128" s="11"/>
      <c r="I128" s="7"/>
      <c r="J128" s="7"/>
    </row>
    <row r="129" spans="1:10" ht="15">
      <c r="A129" s="13">
        <v>124</v>
      </c>
      <c r="B129" s="9" t="s">
        <v>141</v>
      </c>
      <c r="C129" s="10" t="s">
        <v>132</v>
      </c>
      <c r="D129" s="11">
        <f t="shared" si="1"/>
        <v>9.159566</v>
      </c>
      <c r="E129" s="11">
        <f>153.17*0.0598</f>
        <v>9.159566</v>
      </c>
      <c r="F129" s="11">
        <v>0</v>
      </c>
      <c r="G129" s="16"/>
      <c r="I129" s="7"/>
      <c r="J129" s="7"/>
    </row>
    <row r="130" spans="1:10" ht="15">
      <c r="A130" s="13">
        <v>125</v>
      </c>
      <c r="B130" s="9" t="s">
        <v>142</v>
      </c>
      <c r="C130" s="18" t="s">
        <v>132</v>
      </c>
      <c r="D130" s="11">
        <f t="shared" si="1"/>
        <v>13.156525</v>
      </c>
      <c r="E130" s="16">
        <f>160.25*0.0821</f>
        <v>13.156525</v>
      </c>
      <c r="F130" s="11">
        <v>0</v>
      </c>
      <c r="G130" s="16"/>
      <c r="I130" s="7"/>
      <c r="J130" s="7"/>
    </row>
    <row r="131" spans="1:10" ht="15">
      <c r="A131" s="13">
        <v>126</v>
      </c>
      <c r="B131" s="9" t="s">
        <v>143</v>
      </c>
      <c r="C131" s="10" t="s">
        <v>132</v>
      </c>
      <c r="D131" s="11">
        <f t="shared" si="1"/>
        <v>22.697765999999998</v>
      </c>
      <c r="E131" s="11">
        <f>253.89*0.0894</f>
        <v>22.697765999999998</v>
      </c>
      <c r="F131" s="11">
        <v>0</v>
      </c>
      <c r="G131" s="16"/>
      <c r="I131" s="7"/>
      <c r="J131" s="7"/>
    </row>
    <row r="132" spans="1:10" ht="15">
      <c r="A132" s="13">
        <v>127</v>
      </c>
      <c r="B132" s="9" t="s">
        <v>144</v>
      </c>
      <c r="C132" s="10" t="s">
        <v>132</v>
      </c>
      <c r="D132" s="11">
        <f t="shared" si="1"/>
        <v>22.656378</v>
      </c>
      <c r="E132" s="11">
        <f>205.78*0.1101</f>
        <v>22.656378</v>
      </c>
      <c r="F132" s="11">
        <v>0</v>
      </c>
      <c r="G132" s="16"/>
      <c r="I132" s="7"/>
      <c r="J132" s="7"/>
    </row>
    <row r="133" spans="1:10" ht="15">
      <c r="A133" s="13">
        <v>128</v>
      </c>
      <c r="B133" s="9" t="s">
        <v>145</v>
      </c>
      <c r="C133" s="18" t="s">
        <v>132</v>
      </c>
      <c r="D133" s="11">
        <f t="shared" si="1"/>
        <v>39.42741</v>
      </c>
      <c r="E133" s="11">
        <f>251.13*0.157</f>
        <v>39.42741</v>
      </c>
      <c r="F133" s="11">
        <v>0</v>
      </c>
      <c r="G133" s="16"/>
      <c r="I133" s="7"/>
      <c r="J133" s="7"/>
    </row>
    <row r="134" spans="1:10" ht="15">
      <c r="A134" s="13">
        <v>129</v>
      </c>
      <c r="B134" s="9" t="s">
        <v>146</v>
      </c>
      <c r="C134" s="18" t="s">
        <v>147</v>
      </c>
      <c r="D134" s="11">
        <f t="shared" si="1"/>
        <v>11.115762</v>
      </c>
      <c r="E134" s="11">
        <f>119.14*0.0933</f>
        <v>11.115762</v>
      </c>
      <c r="F134" s="11">
        <v>0</v>
      </c>
      <c r="G134" s="16"/>
      <c r="I134" s="7"/>
      <c r="J134" s="7"/>
    </row>
    <row r="135" spans="1:10" ht="25.5">
      <c r="A135" s="13">
        <v>130</v>
      </c>
      <c r="B135" s="9" t="s">
        <v>148</v>
      </c>
      <c r="C135" s="10" t="s">
        <v>132</v>
      </c>
      <c r="D135" s="11">
        <f t="shared" si="1"/>
        <v>25.260781833333333</v>
      </c>
      <c r="E135" s="28">
        <v>25.260781833333333</v>
      </c>
      <c r="F135" s="11">
        <v>0</v>
      </c>
      <c r="G135" s="16" t="s">
        <v>17</v>
      </c>
      <c r="I135" s="7"/>
      <c r="J135" s="7"/>
    </row>
    <row r="136" spans="1:10" ht="15">
      <c r="A136" s="13">
        <v>131</v>
      </c>
      <c r="B136" s="9" t="s">
        <v>149</v>
      </c>
      <c r="C136" s="10" t="s">
        <v>132</v>
      </c>
      <c r="D136" s="11">
        <f t="shared" si="1"/>
        <v>18.748881</v>
      </c>
      <c r="E136" s="11">
        <f>316.17*0.0593</f>
        <v>18.748881</v>
      </c>
      <c r="F136" s="11">
        <v>0</v>
      </c>
      <c r="G136" s="16"/>
      <c r="I136" s="7"/>
      <c r="J136" s="7"/>
    </row>
    <row r="137" spans="1:10" ht="15">
      <c r="A137" s="13">
        <v>132</v>
      </c>
      <c r="B137" s="9" t="s">
        <v>150</v>
      </c>
      <c r="C137" s="18" t="s">
        <v>106</v>
      </c>
      <c r="D137" s="11">
        <f aca="true" t="shared" si="2" ref="D137:D200">E137</f>
        <v>11.917936000000001</v>
      </c>
      <c r="E137" s="11">
        <f>122.11*0.0976</f>
        <v>11.917936000000001</v>
      </c>
      <c r="F137" s="11">
        <v>0</v>
      </c>
      <c r="G137" s="16"/>
      <c r="I137" s="7"/>
      <c r="J137" s="7"/>
    </row>
    <row r="138" spans="1:10" ht="15">
      <c r="A138" s="13">
        <v>133</v>
      </c>
      <c r="B138" s="9" t="s">
        <v>151</v>
      </c>
      <c r="C138" s="10" t="s">
        <v>132</v>
      </c>
      <c r="D138" s="11">
        <f t="shared" si="2"/>
        <v>25.99903</v>
      </c>
      <c r="E138" s="11">
        <f>366.7*0.0709</f>
        <v>25.99903</v>
      </c>
      <c r="F138" s="11">
        <v>0</v>
      </c>
      <c r="G138" s="11"/>
      <c r="I138" s="7"/>
      <c r="J138" s="7"/>
    </row>
    <row r="139" spans="1:10" ht="15">
      <c r="A139" s="13">
        <v>134</v>
      </c>
      <c r="B139" s="9" t="s">
        <v>152</v>
      </c>
      <c r="C139" s="10" t="s">
        <v>132</v>
      </c>
      <c r="D139" s="11">
        <f t="shared" si="2"/>
        <v>8.099</v>
      </c>
      <c r="E139" s="11">
        <f>124.6*0.065</f>
        <v>8.099</v>
      </c>
      <c r="F139" s="11">
        <v>0</v>
      </c>
      <c r="G139" s="11"/>
      <c r="I139" s="7"/>
      <c r="J139" s="7"/>
    </row>
    <row r="140" spans="1:10" ht="15">
      <c r="A140" s="13">
        <v>135</v>
      </c>
      <c r="B140" s="9" t="s">
        <v>153</v>
      </c>
      <c r="C140" s="10" t="s">
        <v>132</v>
      </c>
      <c r="D140" s="11">
        <f t="shared" si="2"/>
        <v>27.29335</v>
      </c>
      <c r="E140" s="11">
        <f>268.9*0.1015</f>
        <v>27.29335</v>
      </c>
      <c r="F140" s="11">
        <v>0</v>
      </c>
      <c r="G140" s="11"/>
      <c r="I140" s="7"/>
      <c r="J140" s="7"/>
    </row>
    <row r="141" spans="1:10" ht="15">
      <c r="A141" s="13">
        <v>136</v>
      </c>
      <c r="B141" s="9" t="s">
        <v>154</v>
      </c>
      <c r="C141" s="10" t="s">
        <v>132</v>
      </c>
      <c r="D141" s="11">
        <f t="shared" si="2"/>
        <v>8.19846</v>
      </c>
      <c r="E141" s="11">
        <f>123.1*0.0666</f>
        <v>8.19846</v>
      </c>
      <c r="F141" s="11">
        <v>0</v>
      </c>
      <c r="G141" s="11"/>
      <c r="I141" s="7"/>
      <c r="J141" s="7"/>
    </row>
    <row r="142" spans="1:10" ht="25.5">
      <c r="A142" s="13">
        <v>137</v>
      </c>
      <c r="B142" s="9" t="s">
        <v>155</v>
      </c>
      <c r="C142" s="10" t="s">
        <v>132</v>
      </c>
      <c r="D142" s="11">
        <f t="shared" si="2"/>
        <v>16.159861</v>
      </c>
      <c r="E142" s="29">
        <v>16.159861</v>
      </c>
      <c r="F142" s="11">
        <v>0</v>
      </c>
      <c r="G142" s="16" t="s">
        <v>17</v>
      </c>
      <c r="I142" s="7"/>
      <c r="J142" s="7"/>
    </row>
    <row r="143" spans="1:10" ht="25.5">
      <c r="A143" s="13">
        <v>138</v>
      </c>
      <c r="B143" s="9" t="s">
        <v>156</v>
      </c>
      <c r="C143" s="10" t="s">
        <v>132</v>
      </c>
      <c r="D143" s="11">
        <f t="shared" si="2"/>
        <v>23.387404</v>
      </c>
      <c r="E143" s="29">
        <v>23.387404</v>
      </c>
      <c r="F143" s="11">
        <v>0</v>
      </c>
      <c r="G143" s="16" t="s">
        <v>67</v>
      </c>
      <c r="I143" s="7"/>
      <c r="J143" s="7"/>
    </row>
    <row r="144" spans="1:10" ht="25.5">
      <c r="A144" s="13">
        <v>139</v>
      </c>
      <c r="B144" s="9" t="s">
        <v>157</v>
      </c>
      <c r="C144" s="10" t="s">
        <v>132</v>
      </c>
      <c r="D144" s="11">
        <f t="shared" si="2"/>
        <v>20.39906816666667</v>
      </c>
      <c r="E144" s="29">
        <v>20.39906816666667</v>
      </c>
      <c r="F144" s="11">
        <v>0</v>
      </c>
      <c r="G144" s="16" t="s">
        <v>67</v>
      </c>
      <c r="I144" s="7"/>
      <c r="J144" s="7"/>
    </row>
    <row r="145" spans="1:10" ht="15">
      <c r="A145" s="13">
        <v>140</v>
      </c>
      <c r="B145" s="9" t="s">
        <v>158</v>
      </c>
      <c r="C145" s="10" t="s">
        <v>132</v>
      </c>
      <c r="D145" s="11">
        <f t="shared" si="2"/>
        <v>40.8</v>
      </c>
      <c r="E145" s="11">
        <f>340*0.12</f>
        <v>40.8</v>
      </c>
      <c r="F145" s="11">
        <v>0</v>
      </c>
      <c r="G145" s="11"/>
      <c r="I145" s="7"/>
      <c r="J145" s="7"/>
    </row>
    <row r="146" spans="1:10" ht="15">
      <c r="A146" s="13">
        <v>141</v>
      </c>
      <c r="B146" s="9" t="s">
        <v>159</v>
      </c>
      <c r="C146" s="18" t="s">
        <v>160</v>
      </c>
      <c r="D146" s="11">
        <f t="shared" si="2"/>
        <v>14.792000000000002</v>
      </c>
      <c r="E146" s="11">
        <f>80*0.1849</f>
        <v>14.792000000000002</v>
      </c>
      <c r="F146" s="11">
        <v>0</v>
      </c>
      <c r="G146" s="16"/>
      <c r="I146" s="7"/>
      <c r="J146" s="7"/>
    </row>
    <row r="147" spans="1:10" ht="15">
      <c r="A147" s="13">
        <v>142</v>
      </c>
      <c r="B147" s="9" t="s">
        <v>161</v>
      </c>
      <c r="C147" s="18" t="s">
        <v>160</v>
      </c>
      <c r="D147" s="11">
        <f t="shared" si="2"/>
        <v>17.9728</v>
      </c>
      <c r="E147" s="29">
        <f>239*0.0752</f>
        <v>17.9728</v>
      </c>
      <c r="F147" s="11">
        <v>0</v>
      </c>
      <c r="G147" s="16"/>
      <c r="H147" s="30"/>
      <c r="I147" s="7"/>
      <c r="J147" s="7"/>
    </row>
    <row r="148" spans="1:10" ht="15">
      <c r="A148" s="13">
        <v>143</v>
      </c>
      <c r="B148" s="9" t="s">
        <v>162</v>
      </c>
      <c r="C148" s="18" t="s">
        <v>160</v>
      </c>
      <c r="D148" s="11">
        <f t="shared" si="2"/>
        <v>17.1954</v>
      </c>
      <c r="E148" s="11">
        <f>233*0.0738</f>
        <v>17.1954</v>
      </c>
      <c r="F148" s="11">
        <v>0</v>
      </c>
      <c r="G148" s="16"/>
      <c r="I148" s="7"/>
      <c r="J148" s="7"/>
    </row>
    <row r="149" spans="1:10" ht="15">
      <c r="A149" s="13">
        <v>144</v>
      </c>
      <c r="B149" s="9" t="s">
        <v>163</v>
      </c>
      <c r="C149" s="18" t="s">
        <v>160</v>
      </c>
      <c r="D149" s="11">
        <f t="shared" si="2"/>
        <v>14.139380000000001</v>
      </c>
      <c r="E149" s="28">
        <f>185.8*0.0761</f>
        <v>14.139380000000001</v>
      </c>
      <c r="F149" s="11">
        <v>0</v>
      </c>
      <c r="G149" s="16"/>
      <c r="H149" s="30"/>
      <c r="I149" s="7"/>
      <c r="J149" s="7"/>
    </row>
    <row r="150" spans="1:10" ht="15">
      <c r="A150" s="13">
        <v>145</v>
      </c>
      <c r="B150" s="9" t="s">
        <v>164</v>
      </c>
      <c r="C150" s="18" t="s">
        <v>160</v>
      </c>
      <c r="D150" s="11">
        <f t="shared" si="2"/>
        <v>10.052</v>
      </c>
      <c r="E150" s="11">
        <f>140*0.0718</f>
        <v>10.052</v>
      </c>
      <c r="F150" s="11">
        <v>0</v>
      </c>
      <c r="G150" s="16"/>
      <c r="I150" s="7"/>
      <c r="J150" s="7"/>
    </row>
    <row r="151" spans="1:10" ht="15">
      <c r="A151" s="13">
        <v>146</v>
      </c>
      <c r="B151" s="9" t="s">
        <v>165</v>
      </c>
      <c r="C151" s="18" t="s">
        <v>166</v>
      </c>
      <c r="D151" s="11">
        <f t="shared" si="2"/>
        <v>13.705200000000001</v>
      </c>
      <c r="E151" s="11">
        <f>108*0.1269</f>
        <v>13.705200000000001</v>
      </c>
      <c r="F151" s="11">
        <v>0</v>
      </c>
      <c r="G151" s="16"/>
      <c r="I151" s="7"/>
      <c r="J151" s="7"/>
    </row>
    <row r="152" spans="1:10" ht="15">
      <c r="A152" s="13">
        <v>147</v>
      </c>
      <c r="B152" s="9" t="s">
        <v>167</v>
      </c>
      <c r="C152" s="18" t="s">
        <v>160</v>
      </c>
      <c r="D152" s="11">
        <f t="shared" si="2"/>
        <v>15.9115</v>
      </c>
      <c r="E152" s="11">
        <f>263*0.0605</f>
        <v>15.9115</v>
      </c>
      <c r="F152" s="11">
        <v>0</v>
      </c>
      <c r="G152" s="31"/>
      <c r="I152" s="7"/>
      <c r="J152" s="7"/>
    </row>
    <row r="153" spans="1:10" ht="15">
      <c r="A153" s="13">
        <v>148</v>
      </c>
      <c r="B153" s="9" t="s">
        <v>168</v>
      </c>
      <c r="C153" s="18" t="s">
        <v>160</v>
      </c>
      <c r="D153" s="11"/>
      <c r="E153" s="29"/>
      <c r="F153" s="11"/>
      <c r="G153" s="32" t="s">
        <v>169</v>
      </c>
      <c r="I153" s="7"/>
      <c r="J153" s="7"/>
    </row>
    <row r="154" spans="1:10" ht="15">
      <c r="A154" s="13">
        <v>150</v>
      </c>
      <c r="B154" s="9" t="s">
        <v>170</v>
      </c>
      <c r="C154" s="18" t="s">
        <v>160</v>
      </c>
      <c r="D154" s="11"/>
      <c r="E154" s="29"/>
      <c r="F154" s="11"/>
      <c r="G154" s="32" t="s">
        <v>169</v>
      </c>
      <c r="I154" s="7"/>
      <c r="J154" s="7"/>
    </row>
    <row r="155" spans="1:10" ht="15">
      <c r="A155" s="13">
        <v>151</v>
      </c>
      <c r="B155" s="9" t="s">
        <v>171</v>
      </c>
      <c r="C155" s="18" t="s">
        <v>166</v>
      </c>
      <c r="D155" s="11">
        <f t="shared" si="2"/>
        <v>7.6997599999999995</v>
      </c>
      <c r="E155" s="11">
        <f>88.3*0.0872</f>
        <v>7.6997599999999995</v>
      </c>
      <c r="F155" s="11">
        <v>0</v>
      </c>
      <c r="G155" s="11"/>
      <c r="I155" s="7"/>
      <c r="J155" s="7"/>
    </row>
    <row r="156" spans="1:10" ht="15">
      <c r="A156" s="13">
        <v>152</v>
      </c>
      <c r="B156" s="9" t="s">
        <v>172</v>
      </c>
      <c r="C156" s="18" t="s">
        <v>166</v>
      </c>
      <c r="D156" s="11">
        <f t="shared" si="2"/>
        <v>14.50104</v>
      </c>
      <c r="E156" s="11">
        <f>170.4*0.0851</f>
        <v>14.50104</v>
      </c>
      <c r="F156" s="11">
        <v>0</v>
      </c>
      <c r="G156" s="11"/>
      <c r="I156" s="7"/>
      <c r="J156" s="7"/>
    </row>
    <row r="157" spans="1:10" ht="25.5">
      <c r="A157" s="13">
        <v>153</v>
      </c>
      <c r="B157" s="9" t="s">
        <v>173</v>
      </c>
      <c r="C157" s="18" t="s">
        <v>166</v>
      </c>
      <c r="D157" s="11">
        <f t="shared" si="2"/>
        <v>11.430188</v>
      </c>
      <c r="E157" s="28">
        <v>11.430188</v>
      </c>
      <c r="F157" s="11">
        <v>0</v>
      </c>
      <c r="G157" s="16" t="s">
        <v>67</v>
      </c>
      <c r="I157" s="7"/>
      <c r="J157" s="7"/>
    </row>
    <row r="158" spans="1:10" ht="15">
      <c r="A158" s="13">
        <v>154</v>
      </c>
      <c r="B158" s="9" t="s">
        <v>174</v>
      </c>
      <c r="C158" s="18" t="s">
        <v>166</v>
      </c>
      <c r="D158" s="11">
        <f t="shared" si="2"/>
        <v>9.6</v>
      </c>
      <c r="E158" s="16">
        <f>100*0.096</f>
        <v>9.6</v>
      </c>
      <c r="F158" s="11">
        <v>0</v>
      </c>
      <c r="G158" s="16"/>
      <c r="I158" s="7"/>
      <c r="J158" s="7"/>
    </row>
    <row r="159" spans="1:10" ht="15">
      <c r="A159" s="13">
        <v>155</v>
      </c>
      <c r="B159" s="9" t="s">
        <v>175</v>
      </c>
      <c r="C159" s="18" t="s">
        <v>166</v>
      </c>
      <c r="D159" s="11">
        <f t="shared" si="2"/>
        <v>11.6034</v>
      </c>
      <c r="E159" s="11">
        <f>124.5*0.0932</f>
        <v>11.6034</v>
      </c>
      <c r="F159" s="11">
        <v>0</v>
      </c>
      <c r="G159" s="16"/>
      <c r="I159" s="7"/>
      <c r="J159" s="7"/>
    </row>
    <row r="160" spans="1:10" ht="15">
      <c r="A160" s="13">
        <v>156</v>
      </c>
      <c r="B160" s="9" t="s">
        <v>176</v>
      </c>
      <c r="C160" s="18" t="s">
        <v>166</v>
      </c>
      <c r="D160" s="11">
        <f t="shared" si="2"/>
        <v>10.0448</v>
      </c>
      <c r="E160" s="20">
        <f>0.86*11.68</f>
        <v>10.0448</v>
      </c>
      <c r="F160" s="11">
        <v>0</v>
      </c>
      <c r="G160" s="16"/>
      <c r="I160" s="7"/>
      <c r="J160" s="7"/>
    </row>
    <row r="161" spans="1:10" ht="15">
      <c r="A161" s="13">
        <v>157</v>
      </c>
      <c r="B161" s="9" t="s">
        <v>177</v>
      </c>
      <c r="C161" s="18" t="s">
        <v>166</v>
      </c>
      <c r="D161" s="11">
        <f t="shared" si="2"/>
        <v>14.3964</v>
      </c>
      <c r="E161" s="11">
        <f>129*0.1116</f>
        <v>14.3964</v>
      </c>
      <c r="F161" s="11">
        <v>0</v>
      </c>
      <c r="G161" s="16"/>
      <c r="I161" s="7"/>
      <c r="J161" s="7"/>
    </row>
    <row r="162" spans="1:10" ht="15">
      <c r="A162" s="13">
        <v>158</v>
      </c>
      <c r="B162" s="9" t="s">
        <v>178</v>
      </c>
      <c r="C162" s="18" t="s">
        <v>166</v>
      </c>
      <c r="D162" s="11">
        <f t="shared" si="2"/>
        <v>11.985</v>
      </c>
      <c r="E162" s="11">
        <f>117.5*0.102</f>
        <v>11.985</v>
      </c>
      <c r="F162" s="11">
        <v>0</v>
      </c>
      <c r="G162" s="16"/>
      <c r="I162" s="7"/>
      <c r="J162" s="7"/>
    </row>
    <row r="163" spans="1:10" ht="15">
      <c r="A163" s="13">
        <v>159</v>
      </c>
      <c r="B163" s="9" t="s">
        <v>179</v>
      </c>
      <c r="C163" s="18" t="s">
        <v>166</v>
      </c>
      <c r="D163" s="11"/>
      <c r="E163" s="29"/>
      <c r="F163" s="11"/>
      <c r="G163" s="32" t="s">
        <v>169</v>
      </c>
      <c r="I163" s="7"/>
      <c r="J163" s="7"/>
    </row>
    <row r="164" spans="1:10" ht="15">
      <c r="A164" s="13">
        <v>160</v>
      </c>
      <c r="B164" s="9" t="s">
        <v>180</v>
      </c>
      <c r="C164" s="18" t="s">
        <v>166</v>
      </c>
      <c r="D164" s="11">
        <f t="shared" si="2"/>
        <v>16.800810000000002</v>
      </c>
      <c r="E164" s="11">
        <f>187.3*0.0897</f>
        <v>16.800810000000002</v>
      </c>
      <c r="F164" s="11">
        <v>0</v>
      </c>
      <c r="G164" s="12"/>
      <c r="I164" s="7"/>
      <c r="J164" s="7"/>
    </row>
    <row r="165" spans="1:10" ht="15">
      <c r="A165" s="13">
        <v>161</v>
      </c>
      <c r="B165" s="9" t="s">
        <v>181</v>
      </c>
      <c r="C165" s="18" t="s">
        <v>166</v>
      </c>
      <c r="D165" s="11">
        <f t="shared" si="2"/>
        <v>8.90274</v>
      </c>
      <c r="E165" s="11">
        <f>90.2*0.0987</f>
        <v>8.90274</v>
      </c>
      <c r="F165" s="11">
        <v>0</v>
      </c>
      <c r="G165" s="12"/>
      <c r="I165" s="7"/>
      <c r="J165" s="7"/>
    </row>
    <row r="166" spans="1:10" ht="15">
      <c r="A166" s="13">
        <v>162</v>
      </c>
      <c r="B166" s="9" t="s">
        <v>182</v>
      </c>
      <c r="C166" s="10" t="s">
        <v>183</v>
      </c>
      <c r="D166" s="11">
        <f t="shared" si="2"/>
        <v>22.79563</v>
      </c>
      <c r="E166" s="11">
        <f>271.7*0.0839</f>
        <v>22.79563</v>
      </c>
      <c r="F166" s="11">
        <v>0</v>
      </c>
      <c r="G166" s="11"/>
      <c r="I166" s="7"/>
      <c r="J166" s="7"/>
    </row>
    <row r="167" spans="1:10" ht="15">
      <c r="A167" s="13">
        <v>163</v>
      </c>
      <c r="B167" s="9" t="s">
        <v>184</v>
      </c>
      <c r="C167" s="10" t="s">
        <v>183</v>
      </c>
      <c r="D167" s="11">
        <f t="shared" si="2"/>
        <v>26.4141</v>
      </c>
      <c r="E167" s="11">
        <f>326.1*0.081</f>
        <v>26.4141</v>
      </c>
      <c r="F167" s="11">
        <v>0</v>
      </c>
      <c r="G167" s="11"/>
      <c r="I167" s="7"/>
      <c r="J167" s="7"/>
    </row>
    <row r="168" spans="1:10" ht="15">
      <c r="A168" s="13">
        <v>164</v>
      </c>
      <c r="B168" s="9" t="s">
        <v>185</v>
      </c>
      <c r="C168" s="10" t="s">
        <v>183</v>
      </c>
      <c r="D168" s="11">
        <f t="shared" si="2"/>
        <v>23.198539999999998</v>
      </c>
      <c r="E168" s="11">
        <f>192.2*0.1207</f>
        <v>23.198539999999998</v>
      </c>
      <c r="F168" s="11">
        <v>0</v>
      </c>
      <c r="G168" s="11"/>
      <c r="I168" s="7"/>
      <c r="J168" s="7"/>
    </row>
    <row r="169" spans="1:10" ht="15">
      <c r="A169" s="13">
        <v>165</v>
      </c>
      <c r="B169" s="9" t="s">
        <v>186</v>
      </c>
      <c r="C169" s="10" t="s">
        <v>183</v>
      </c>
      <c r="D169" s="11">
        <f t="shared" si="2"/>
        <v>27.292209999999997</v>
      </c>
      <c r="E169" s="11">
        <f>249.7*0.1093</f>
        <v>27.292209999999997</v>
      </c>
      <c r="F169" s="11">
        <v>0</v>
      </c>
      <c r="G169" s="11"/>
      <c r="I169" s="7"/>
      <c r="J169" s="7"/>
    </row>
    <row r="170" spans="1:10" ht="15">
      <c r="A170" s="13">
        <v>166</v>
      </c>
      <c r="B170" s="9" t="s">
        <v>187</v>
      </c>
      <c r="C170" s="10" t="s">
        <v>183</v>
      </c>
      <c r="D170" s="11">
        <f t="shared" si="2"/>
        <v>23.200407</v>
      </c>
      <c r="E170" s="11">
        <f>255.23*0.0909</f>
        <v>23.200407</v>
      </c>
      <c r="F170" s="11">
        <v>0</v>
      </c>
      <c r="G170" s="16"/>
      <c r="I170" s="7"/>
      <c r="J170" s="7"/>
    </row>
    <row r="171" spans="1:10" ht="15">
      <c r="A171" s="13">
        <v>167</v>
      </c>
      <c r="B171" s="9" t="s">
        <v>188</v>
      </c>
      <c r="C171" s="33" t="s">
        <v>183</v>
      </c>
      <c r="D171" s="11">
        <f t="shared" si="2"/>
        <v>75.903036</v>
      </c>
      <c r="E171" s="11">
        <f>750.03*0.1012</f>
        <v>75.903036</v>
      </c>
      <c r="F171" s="11">
        <v>0</v>
      </c>
      <c r="G171" s="16"/>
      <c r="I171" s="7"/>
      <c r="J171" s="7"/>
    </row>
    <row r="172" spans="1:10" ht="15">
      <c r="A172" s="13">
        <v>168</v>
      </c>
      <c r="B172" s="9" t="s">
        <v>189</v>
      </c>
      <c r="C172" s="10" t="s">
        <v>183</v>
      </c>
      <c r="D172" s="11">
        <f t="shared" si="2"/>
        <v>24.458849999999998</v>
      </c>
      <c r="E172" s="11">
        <f>254.25*0.0962</f>
        <v>24.458849999999998</v>
      </c>
      <c r="F172" s="11">
        <v>0</v>
      </c>
      <c r="G172" s="11"/>
      <c r="I172" s="7"/>
      <c r="J172" s="7"/>
    </row>
    <row r="173" spans="1:10" ht="25.5">
      <c r="A173" s="13">
        <v>169</v>
      </c>
      <c r="B173" s="9" t="s">
        <v>190</v>
      </c>
      <c r="C173" s="33" t="s">
        <v>183</v>
      </c>
      <c r="D173" s="11">
        <f t="shared" si="2"/>
        <v>13.998136</v>
      </c>
      <c r="E173" s="29">
        <v>13.998136</v>
      </c>
      <c r="F173" s="11">
        <v>0</v>
      </c>
      <c r="G173" s="16" t="s">
        <v>17</v>
      </c>
      <c r="I173" s="7"/>
      <c r="J173" s="7"/>
    </row>
    <row r="174" spans="1:10" ht="15">
      <c r="A174" s="13">
        <v>170</v>
      </c>
      <c r="B174" s="9" t="s">
        <v>191</v>
      </c>
      <c r="C174" s="9" t="s">
        <v>183</v>
      </c>
      <c r="D174" s="11">
        <f t="shared" si="2"/>
        <v>32.160000000000004</v>
      </c>
      <c r="E174" s="11">
        <f>240*0.134</f>
        <v>32.160000000000004</v>
      </c>
      <c r="F174" s="11">
        <v>0</v>
      </c>
      <c r="G174" s="16"/>
      <c r="I174" s="7"/>
      <c r="J174" s="7"/>
    </row>
    <row r="175" spans="1:10" ht="15">
      <c r="A175" s="13">
        <v>171</v>
      </c>
      <c r="B175" s="9" t="s">
        <v>192</v>
      </c>
      <c r="C175" s="33" t="s">
        <v>183</v>
      </c>
      <c r="D175" s="11">
        <f t="shared" si="2"/>
        <v>18.930300000000003</v>
      </c>
      <c r="E175" s="11">
        <f>267*0.0709</f>
        <v>18.930300000000003</v>
      </c>
      <c r="F175" s="11">
        <v>0</v>
      </c>
      <c r="G175" s="16"/>
      <c r="I175" s="7"/>
      <c r="J175" s="7"/>
    </row>
    <row r="176" spans="1:10" ht="15">
      <c r="A176" s="13">
        <v>172</v>
      </c>
      <c r="B176" s="9" t="s">
        <v>193</v>
      </c>
      <c r="C176" s="33" t="s">
        <v>183</v>
      </c>
      <c r="D176" s="11">
        <f t="shared" si="2"/>
        <v>25.493000000000002</v>
      </c>
      <c r="E176" s="11">
        <f>370*0.0689</f>
        <v>25.493000000000002</v>
      </c>
      <c r="F176" s="11">
        <v>0</v>
      </c>
      <c r="G176" s="16"/>
      <c r="I176" s="7"/>
      <c r="J176" s="7"/>
    </row>
    <row r="177" spans="1:10" ht="15">
      <c r="A177" s="13">
        <v>173</v>
      </c>
      <c r="B177" s="9" t="s">
        <v>194</v>
      </c>
      <c r="C177" s="33" t="s">
        <v>183</v>
      </c>
      <c r="D177" s="11">
        <f t="shared" si="2"/>
        <v>83.83725</v>
      </c>
      <c r="E177" s="11">
        <f>532.3*0.1575</f>
        <v>83.83725</v>
      </c>
      <c r="F177" s="11">
        <v>0</v>
      </c>
      <c r="G177" s="11"/>
      <c r="I177" s="7"/>
      <c r="J177" s="7"/>
    </row>
    <row r="178" spans="1:10" ht="15">
      <c r="A178" s="13">
        <v>174</v>
      </c>
      <c r="B178" s="9" t="s">
        <v>195</v>
      </c>
      <c r="C178" s="33" t="s">
        <v>183</v>
      </c>
      <c r="D178" s="11">
        <f t="shared" si="2"/>
        <v>25.9424</v>
      </c>
      <c r="E178" s="11">
        <f>294.8*0.088</f>
        <v>25.9424</v>
      </c>
      <c r="F178" s="11">
        <v>0</v>
      </c>
      <c r="G178" s="11"/>
      <c r="I178" s="7"/>
      <c r="J178" s="7"/>
    </row>
    <row r="179" spans="1:10" ht="15">
      <c r="A179" s="13">
        <v>175</v>
      </c>
      <c r="B179" s="9" t="s">
        <v>196</v>
      </c>
      <c r="C179" s="33" t="s">
        <v>183</v>
      </c>
      <c r="D179" s="11">
        <f t="shared" si="2"/>
        <v>22.645860000000003</v>
      </c>
      <c r="E179" s="11">
        <f>342.6*0.0661</f>
        <v>22.645860000000003</v>
      </c>
      <c r="F179" s="11">
        <v>0</v>
      </c>
      <c r="G179" s="11"/>
      <c r="I179" s="7"/>
      <c r="J179" s="7"/>
    </row>
    <row r="180" spans="1:10" ht="15">
      <c r="A180" s="13">
        <v>176</v>
      </c>
      <c r="B180" s="9" t="s">
        <v>197</v>
      </c>
      <c r="C180" s="33" t="s">
        <v>183</v>
      </c>
      <c r="D180" s="11">
        <f t="shared" si="2"/>
        <v>24.89984</v>
      </c>
      <c r="E180" s="11">
        <f>317.6*0.0784</f>
        <v>24.89984</v>
      </c>
      <c r="F180" s="11">
        <v>0</v>
      </c>
      <c r="G180" s="11"/>
      <c r="I180" s="7"/>
      <c r="J180" s="7"/>
    </row>
    <row r="181" spans="1:10" ht="15">
      <c r="A181" s="13">
        <v>177</v>
      </c>
      <c r="B181" s="9" t="s">
        <v>198</v>
      </c>
      <c r="C181" s="33" t="s">
        <v>183</v>
      </c>
      <c r="D181" s="11">
        <f t="shared" si="2"/>
        <v>22.90082</v>
      </c>
      <c r="E181" s="11">
        <f>297.8*0.0769</f>
        <v>22.90082</v>
      </c>
      <c r="F181" s="11">
        <v>0</v>
      </c>
      <c r="G181" s="11"/>
      <c r="I181" s="7"/>
      <c r="J181" s="7"/>
    </row>
    <row r="182" spans="1:10" ht="15">
      <c r="A182" s="13">
        <v>178</v>
      </c>
      <c r="B182" s="9" t="s">
        <v>199</v>
      </c>
      <c r="C182" s="33" t="s">
        <v>183</v>
      </c>
      <c r="D182" s="11">
        <f t="shared" si="2"/>
        <v>27.293360000000003</v>
      </c>
      <c r="E182" s="11">
        <f>248.8*0.1097</f>
        <v>27.293360000000003</v>
      </c>
      <c r="F182" s="11">
        <v>0</v>
      </c>
      <c r="G182" s="11"/>
      <c r="I182" s="7"/>
      <c r="J182" s="7"/>
    </row>
    <row r="183" spans="1:10" ht="15">
      <c r="A183" s="13">
        <v>179</v>
      </c>
      <c r="B183" s="9" t="s">
        <v>200</v>
      </c>
      <c r="C183" s="33" t="s">
        <v>183</v>
      </c>
      <c r="D183" s="11">
        <f t="shared" si="2"/>
        <v>27.384719999999998</v>
      </c>
      <c r="E183" s="11">
        <f>360.8*0.0759</f>
        <v>27.384719999999998</v>
      </c>
      <c r="F183" s="11">
        <v>0</v>
      </c>
      <c r="G183" s="24"/>
      <c r="I183" s="7"/>
      <c r="J183" s="7"/>
    </row>
    <row r="184" spans="1:10" ht="15">
      <c r="A184" s="13">
        <v>180</v>
      </c>
      <c r="B184" s="9" t="s">
        <v>201</v>
      </c>
      <c r="C184" s="33" t="s">
        <v>183</v>
      </c>
      <c r="D184" s="11">
        <f t="shared" si="2"/>
        <v>23.906480000000002</v>
      </c>
      <c r="E184" s="16">
        <f>235.3*0.1016</f>
        <v>23.906480000000002</v>
      </c>
      <c r="F184" s="11">
        <v>0</v>
      </c>
      <c r="G184" s="16"/>
      <c r="I184" s="7"/>
      <c r="J184" s="7"/>
    </row>
    <row r="185" spans="1:10" ht="15">
      <c r="A185" s="13">
        <v>181</v>
      </c>
      <c r="B185" s="9" t="s">
        <v>202</v>
      </c>
      <c r="C185" s="33" t="s">
        <v>203</v>
      </c>
      <c r="D185" s="11">
        <f t="shared" si="2"/>
        <v>8.122821</v>
      </c>
      <c r="E185" s="11">
        <f>78.33*0.1037</f>
        <v>8.122821</v>
      </c>
      <c r="F185" s="11">
        <v>0</v>
      </c>
      <c r="G185" s="11"/>
      <c r="I185" s="7"/>
      <c r="J185" s="7"/>
    </row>
    <row r="186" spans="1:10" ht="15">
      <c r="A186" s="13">
        <v>182</v>
      </c>
      <c r="B186" s="9" t="s">
        <v>204</v>
      </c>
      <c r="C186" s="33" t="s">
        <v>203</v>
      </c>
      <c r="D186" s="11">
        <f t="shared" si="2"/>
        <v>11.665986</v>
      </c>
      <c r="E186" s="11">
        <f>132.87*0.0878</f>
        <v>11.665986</v>
      </c>
      <c r="F186" s="11">
        <v>0</v>
      </c>
      <c r="G186" s="11"/>
      <c r="I186" s="7"/>
      <c r="J186" s="7"/>
    </row>
    <row r="187" spans="1:10" ht="15">
      <c r="A187" s="13">
        <v>183</v>
      </c>
      <c r="B187" s="9" t="s">
        <v>205</v>
      </c>
      <c r="C187" s="33" t="s">
        <v>203</v>
      </c>
      <c r="D187" s="11">
        <f t="shared" si="2"/>
        <v>75.39359999999999</v>
      </c>
      <c r="E187" s="11">
        <f>678*0.1112</f>
        <v>75.39359999999999</v>
      </c>
      <c r="F187" s="11">
        <v>0</v>
      </c>
      <c r="G187" s="16"/>
      <c r="I187" s="7"/>
      <c r="J187" s="7"/>
    </row>
    <row r="188" spans="1:10" ht="15">
      <c r="A188" s="13">
        <v>184</v>
      </c>
      <c r="B188" s="9" t="s">
        <v>206</v>
      </c>
      <c r="C188" s="34" t="s">
        <v>207</v>
      </c>
      <c r="D188" s="11">
        <f t="shared" si="2"/>
        <v>22.2068</v>
      </c>
      <c r="E188" s="11">
        <f>206*0.1078</f>
        <v>22.2068</v>
      </c>
      <c r="F188" s="11">
        <v>0</v>
      </c>
      <c r="G188" s="16"/>
      <c r="I188" s="7"/>
      <c r="J188" s="7"/>
    </row>
    <row r="189" spans="1:10" ht="15">
      <c r="A189" s="13">
        <v>185</v>
      </c>
      <c r="B189" s="9" t="s">
        <v>208</v>
      </c>
      <c r="C189" s="34" t="s">
        <v>207</v>
      </c>
      <c r="D189" s="11">
        <f t="shared" si="2"/>
        <v>24.200000000000003</v>
      </c>
      <c r="E189" s="11">
        <f>242*0.1</f>
        <v>24.200000000000003</v>
      </c>
      <c r="F189" s="11">
        <v>0</v>
      </c>
      <c r="G189" s="11"/>
      <c r="I189" s="7"/>
      <c r="J189" s="7"/>
    </row>
    <row r="190" spans="1:10" ht="15">
      <c r="A190" s="13">
        <v>186</v>
      </c>
      <c r="B190" s="13" t="s">
        <v>209</v>
      </c>
      <c r="C190" s="34" t="s">
        <v>207</v>
      </c>
      <c r="D190" s="11">
        <f t="shared" si="2"/>
        <v>20.90988</v>
      </c>
      <c r="E190" s="26">
        <f>205.2*0.1019</f>
        <v>20.90988</v>
      </c>
      <c r="F190" s="11">
        <v>0</v>
      </c>
      <c r="G190" s="16"/>
      <c r="I190" s="7"/>
      <c r="J190" s="7"/>
    </row>
    <row r="191" spans="1:10" ht="15">
      <c r="A191" s="13">
        <v>187</v>
      </c>
      <c r="B191" s="9" t="s">
        <v>210</v>
      </c>
      <c r="C191" s="34" t="s">
        <v>207</v>
      </c>
      <c r="D191" s="11">
        <f t="shared" si="2"/>
        <v>24.00378</v>
      </c>
      <c r="E191" s="16">
        <f>174.7*0.1374</f>
        <v>24.00378</v>
      </c>
      <c r="F191" s="11">
        <v>0</v>
      </c>
      <c r="G191" s="16"/>
      <c r="I191" s="7"/>
      <c r="J191" s="7"/>
    </row>
    <row r="192" spans="1:10" ht="15">
      <c r="A192" s="13">
        <v>188</v>
      </c>
      <c r="B192" s="13" t="s">
        <v>211</v>
      </c>
      <c r="C192" s="34" t="s">
        <v>207</v>
      </c>
      <c r="D192" s="11">
        <f t="shared" si="2"/>
        <v>20.9948</v>
      </c>
      <c r="E192" s="16">
        <f>719*0.0292</f>
        <v>20.9948</v>
      </c>
      <c r="F192" s="11">
        <v>0</v>
      </c>
      <c r="G192" s="16"/>
      <c r="I192" s="7"/>
      <c r="J192" s="7"/>
    </row>
    <row r="193" spans="1:10" ht="15">
      <c r="A193" s="13">
        <v>189</v>
      </c>
      <c r="B193" s="13" t="s">
        <v>212</v>
      </c>
      <c r="C193" s="34" t="s">
        <v>207</v>
      </c>
      <c r="D193" s="11">
        <f t="shared" si="2"/>
        <v>16.78699</v>
      </c>
      <c r="E193" s="26">
        <f>324.7*0.0517</f>
        <v>16.78699</v>
      </c>
      <c r="F193" s="11">
        <v>0</v>
      </c>
      <c r="G193" s="11"/>
      <c r="I193" s="7"/>
      <c r="J193" s="7"/>
    </row>
    <row r="194" spans="1:10" ht="15">
      <c r="A194" s="13">
        <v>190</v>
      </c>
      <c r="B194" s="13" t="s">
        <v>213</v>
      </c>
      <c r="C194" s="34" t="s">
        <v>207</v>
      </c>
      <c r="D194" s="11">
        <f t="shared" si="2"/>
        <v>21.197519999999997</v>
      </c>
      <c r="E194" s="26">
        <f>299.4*0.0708</f>
        <v>21.197519999999997</v>
      </c>
      <c r="F194" s="11">
        <v>0</v>
      </c>
      <c r="G194" s="11"/>
      <c r="I194" s="7"/>
      <c r="J194" s="7"/>
    </row>
    <row r="195" spans="1:10" ht="15">
      <c r="A195" s="13">
        <v>191</v>
      </c>
      <c r="B195" s="13" t="s">
        <v>214</v>
      </c>
      <c r="C195" s="34" t="s">
        <v>207</v>
      </c>
      <c r="D195" s="11">
        <f t="shared" si="2"/>
        <v>37.9086</v>
      </c>
      <c r="E195" s="26">
        <f>402*0.0943</f>
        <v>37.9086</v>
      </c>
      <c r="F195" s="11">
        <v>0</v>
      </c>
      <c r="G195" s="16"/>
      <c r="I195" s="7"/>
      <c r="J195" s="7"/>
    </row>
    <row r="196" spans="1:10" ht="15">
      <c r="A196" s="13">
        <v>192</v>
      </c>
      <c r="B196" s="13" t="s">
        <v>215</v>
      </c>
      <c r="C196" s="34" t="s">
        <v>207</v>
      </c>
      <c r="D196" s="11">
        <f t="shared" si="2"/>
        <v>8.2008</v>
      </c>
      <c r="E196" s="16">
        <f>107.2*0.0765</f>
        <v>8.2008</v>
      </c>
      <c r="F196" s="11">
        <v>0</v>
      </c>
      <c r="G196" s="16"/>
      <c r="I196" s="7"/>
      <c r="J196" s="7"/>
    </row>
    <row r="197" spans="1:10" ht="15">
      <c r="A197" s="13">
        <v>193</v>
      </c>
      <c r="B197" s="13" t="s">
        <v>216</v>
      </c>
      <c r="C197" s="34" t="s">
        <v>207</v>
      </c>
      <c r="D197" s="11">
        <f t="shared" si="2"/>
        <v>19.61268</v>
      </c>
      <c r="E197" s="26">
        <f>277.8*0.0706</f>
        <v>19.61268</v>
      </c>
      <c r="F197" s="11">
        <v>0</v>
      </c>
      <c r="G197" s="16"/>
      <c r="I197" s="7"/>
      <c r="J197" s="7"/>
    </row>
    <row r="198" spans="1:10" ht="15">
      <c r="A198" s="13">
        <v>194</v>
      </c>
      <c r="B198" s="13" t="s">
        <v>217</v>
      </c>
      <c r="C198" s="34" t="s">
        <v>207</v>
      </c>
      <c r="D198" s="11">
        <f t="shared" si="2"/>
        <v>18.670407</v>
      </c>
      <c r="E198" s="26">
        <f>291.27*0.0641</f>
        <v>18.670407</v>
      </c>
      <c r="F198" s="11">
        <v>0</v>
      </c>
      <c r="G198" s="16"/>
      <c r="I198" s="7"/>
      <c r="J198" s="7"/>
    </row>
    <row r="199" spans="1:10" ht="15">
      <c r="A199" s="13">
        <v>195</v>
      </c>
      <c r="B199" s="13" t="s">
        <v>218</v>
      </c>
      <c r="C199" s="34" t="s">
        <v>207</v>
      </c>
      <c r="D199" s="11">
        <f t="shared" si="2"/>
        <v>14.79246</v>
      </c>
      <c r="E199" s="26">
        <f>244.1*0.0606</f>
        <v>14.79246</v>
      </c>
      <c r="F199" s="11">
        <v>0</v>
      </c>
      <c r="G199" s="11"/>
      <c r="I199" s="7"/>
      <c r="J199" s="7"/>
    </row>
    <row r="200" spans="1:10" ht="15">
      <c r="A200" s="13">
        <v>196</v>
      </c>
      <c r="B200" s="13" t="s">
        <v>219</v>
      </c>
      <c r="C200" s="34" t="s">
        <v>207</v>
      </c>
      <c r="D200" s="11">
        <f t="shared" si="2"/>
        <v>27.100199999999997</v>
      </c>
      <c r="E200" s="26">
        <f>291.4*0.093</f>
        <v>27.100199999999997</v>
      </c>
      <c r="F200" s="11">
        <v>0</v>
      </c>
      <c r="G200" s="16"/>
      <c r="I200" s="7"/>
      <c r="J200" s="7"/>
    </row>
    <row r="201" spans="1:10" ht="15">
      <c r="A201" s="13">
        <v>197</v>
      </c>
      <c r="B201" s="13" t="s">
        <v>220</v>
      </c>
      <c r="C201" s="34" t="s">
        <v>207</v>
      </c>
      <c r="D201" s="11">
        <f aca="true" t="shared" si="3" ref="D201:D262">E201</f>
        <v>14.00205</v>
      </c>
      <c r="E201" s="26">
        <f>433.5*0.0323</f>
        <v>14.00205</v>
      </c>
      <c r="F201" s="11">
        <v>0</v>
      </c>
      <c r="G201" s="16"/>
      <c r="H201" s="30"/>
      <c r="I201" s="7"/>
      <c r="J201" s="7"/>
    </row>
    <row r="202" spans="1:10" ht="15">
      <c r="A202" s="13">
        <v>198</v>
      </c>
      <c r="B202" s="13" t="s">
        <v>221</v>
      </c>
      <c r="C202" s="34" t="s">
        <v>222</v>
      </c>
      <c r="D202" s="11">
        <f t="shared" si="3"/>
        <v>19.09128</v>
      </c>
      <c r="E202" s="29">
        <f>274.3*0.0696</f>
        <v>19.09128</v>
      </c>
      <c r="F202" s="11">
        <v>0</v>
      </c>
      <c r="G202" s="16"/>
      <c r="I202" s="7"/>
      <c r="J202" s="7"/>
    </row>
    <row r="203" spans="1:10" ht="15">
      <c r="A203" s="13">
        <v>199</v>
      </c>
      <c r="B203" s="13" t="s">
        <v>223</v>
      </c>
      <c r="C203" s="34" t="s">
        <v>222</v>
      </c>
      <c r="D203" s="11">
        <f t="shared" si="3"/>
        <v>12.748905000000002</v>
      </c>
      <c r="E203" s="35">
        <v>12.748905000000002</v>
      </c>
      <c r="F203" s="11">
        <v>0</v>
      </c>
      <c r="G203" s="31"/>
      <c r="I203" s="7"/>
      <c r="J203" s="7"/>
    </row>
    <row r="204" spans="1:10" ht="15">
      <c r="A204" s="13">
        <v>200</v>
      </c>
      <c r="B204" s="13" t="s">
        <v>224</v>
      </c>
      <c r="C204" s="34" t="s">
        <v>222</v>
      </c>
      <c r="D204" s="11">
        <f t="shared" si="3"/>
        <v>17.767153333333336</v>
      </c>
      <c r="E204" s="35">
        <v>17.767153333333336</v>
      </c>
      <c r="F204" s="11">
        <v>0</v>
      </c>
      <c r="G204" s="31"/>
      <c r="I204" s="7"/>
      <c r="J204" s="7"/>
    </row>
    <row r="205" spans="1:10" ht="15">
      <c r="A205" s="13">
        <v>201</v>
      </c>
      <c r="B205" s="13" t="s">
        <v>225</v>
      </c>
      <c r="C205" s="13" t="s">
        <v>222</v>
      </c>
      <c r="D205" s="11">
        <f t="shared" si="3"/>
        <v>27.08952</v>
      </c>
      <c r="E205" s="26">
        <f>275.3*0.0984</f>
        <v>27.08952</v>
      </c>
      <c r="F205" s="11">
        <v>0</v>
      </c>
      <c r="G205" s="16"/>
      <c r="I205" s="7"/>
      <c r="J205" s="7"/>
    </row>
    <row r="206" spans="1:10" ht="15">
      <c r="A206" s="13">
        <v>202</v>
      </c>
      <c r="B206" s="13" t="s">
        <v>226</v>
      </c>
      <c r="C206" s="34" t="s">
        <v>222</v>
      </c>
      <c r="D206" s="11">
        <f t="shared" si="3"/>
        <v>26.113200000000003</v>
      </c>
      <c r="E206" s="26">
        <f>277.8*0.094</f>
        <v>26.113200000000003</v>
      </c>
      <c r="F206" s="11">
        <v>0</v>
      </c>
      <c r="G206" s="16"/>
      <c r="I206" s="7"/>
      <c r="J206" s="7"/>
    </row>
    <row r="207" spans="1:10" ht="15">
      <c r="A207" s="13">
        <v>203</v>
      </c>
      <c r="B207" s="13" t="s">
        <v>227</v>
      </c>
      <c r="C207" s="34" t="s">
        <v>222</v>
      </c>
      <c r="D207" s="11">
        <f t="shared" si="3"/>
        <v>22.101059999999997</v>
      </c>
      <c r="E207" s="26">
        <f>143.7*0.1538</f>
        <v>22.101059999999997</v>
      </c>
      <c r="F207" s="11">
        <v>0</v>
      </c>
      <c r="G207" s="16"/>
      <c r="I207" s="7"/>
      <c r="J207" s="7"/>
    </row>
    <row r="208" spans="1:10" ht="15">
      <c r="A208" s="13">
        <v>204</v>
      </c>
      <c r="B208" s="13" t="s">
        <v>228</v>
      </c>
      <c r="C208" s="34" t="s">
        <v>222</v>
      </c>
      <c r="D208" s="11">
        <f t="shared" si="3"/>
        <v>28.894800000000004</v>
      </c>
      <c r="E208" s="26">
        <f>218.9*0.132</f>
        <v>28.894800000000004</v>
      </c>
      <c r="F208" s="11">
        <v>0</v>
      </c>
      <c r="G208" s="16"/>
      <c r="I208" s="7"/>
      <c r="J208" s="7"/>
    </row>
    <row r="209" spans="1:10" ht="15">
      <c r="A209" s="13">
        <v>205</v>
      </c>
      <c r="B209" s="13" t="s">
        <v>229</v>
      </c>
      <c r="C209" s="34" t="s">
        <v>222</v>
      </c>
      <c r="D209" s="11">
        <f t="shared" si="3"/>
        <v>20.999740000000003</v>
      </c>
      <c r="E209" s="26">
        <f>286.1*0.0734</f>
        <v>20.999740000000003</v>
      </c>
      <c r="F209" s="11">
        <v>0</v>
      </c>
      <c r="G209" s="16"/>
      <c r="I209" s="7"/>
      <c r="J209" s="7"/>
    </row>
    <row r="210" spans="1:10" ht="15">
      <c r="A210" s="13">
        <v>206</v>
      </c>
      <c r="B210" s="13" t="s">
        <v>230</v>
      </c>
      <c r="C210" s="34" t="s">
        <v>207</v>
      </c>
      <c r="D210" s="11">
        <f t="shared" si="3"/>
        <v>21.80493</v>
      </c>
      <c r="E210" s="26">
        <f>125.1*0.1743</f>
        <v>21.80493</v>
      </c>
      <c r="F210" s="11">
        <v>0</v>
      </c>
      <c r="G210" s="26"/>
      <c r="I210" s="7"/>
      <c r="J210" s="7"/>
    </row>
    <row r="211" spans="1:10" ht="15">
      <c r="A211" s="13">
        <v>207</v>
      </c>
      <c r="B211" s="13" t="s">
        <v>231</v>
      </c>
      <c r="C211" s="34" t="s">
        <v>207</v>
      </c>
      <c r="D211" s="11">
        <f t="shared" si="3"/>
        <v>8.2008</v>
      </c>
      <c r="E211" s="26">
        <f>107.2*0.0765</f>
        <v>8.2008</v>
      </c>
      <c r="F211" s="11">
        <v>0</v>
      </c>
      <c r="G211" s="11"/>
      <c r="I211" s="7"/>
      <c r="J211" s="7"/>
    </row>
    <row r="212" spans="1:10" ht="15">
      <c r="A212" s="13">
        <v>208</v>
      </c>
      <c r="B212" s="13" t="s">
        <v>232</v>
      </c>
      <c r="C212" s="34" t="s">
        <v>207</v>
      </c>
      <c r="D212" s="11">
        <f t="shared" si="3"/>
        <v>24.6915</v>
      </c>
      <c r="E212" s="26">
        <f>232.5*0.1062</f>
        <v>24.6915</v>
      </c>
      <c r="F212" s="11">
        <v>0</v>
      </c>
      <c r="G212" s="26"/>
      <c r="I212" s="7"/>
      <c r="J212" s="7"/>
    </row>
    <row r="213" spans="1:10" ht="15">
      <c r="A213" s="13">
        <v>209</v>
      </c>
      <c r="B213" s="13" t="s">
        <v>233</v>
      </c>
      <c r="C213" s="34" t="s">
        <v>207</v>
      </c>
      <c r="D213" s="11">
        <f t="shared" si="3"/>
        <v>34.9875</v>
      </c>
      <c r="E213" s="11">
        <f>466.5*0.075</f>
        <v>34.9875</v>
      </c>
      <c r="F213" s="11">
        <v>0</v>
      </c>
      <c r="G213" s="16"/>
      <c r="I213" s="7"/>
      <c r="J213" s="7"/>
    </row>
    <row r="214" spans="1:10" ht="15">
      <c r="A214" s="13">
        <v>210</v>
      </c>
      <c r="B214" s="13" t="s">
        <v>234</v>
      </c>
      <c r="C214" s="13" t="s">
        <v>207</v>
      </c>
      <c r="D214" s="11">
        <f t="shared" si="3"/>
        <v>77.13857</v>
      </c>
      <c r="E214" s="26">
        <f>900.1*0.0857</f>
        <v>77.13857</v>
      </c>
      <c r="F214" s="11">
        <v>0</v>
      </c>
      <c r="G214" s="26"/>
      <c r="I214" s="7"/>
      <c r="J214" s="7"/>
    </row>
    <row r="215" spans="1:10" ht="15">
      <c r="A215" s="13">
        <v>211</v>
      </c>
      <c r="B215" s="13" t="s">
        <v>235</v>
      </c>
      <c r="C215" s="34" t="s">
        <v>222</v>
      </c>
      <c r="D215" s="11">
        <f t="shared" si="3"/>
        <v>21.492359999999998</v>
      </c>
      <c r="E215" s="26">
        <f>315.6*0.0681</f>
        <v>21.492359999999998</v>
      </c>
      <c r="F215" s="11">
        <v>0</v>
      </c>
      <c r="G215" s="16"/>
      <c r="I215" s="7"/>
      <c r="J215" s="7"/>
    </row>
    <row r="216" spans="1:10" ht="25.5">
      <c r="A216" s="13">
        <v>212</v>
      </c>
      <c r="B216" s="13" t="s">
        <v>236</v>
      </c>
      <c r="C216" s="34" t="s">
        <v>222</v>
      </c>
      <c r="D216" s="11">
        <f t="shared" si="3"/>
        <v>9.469410000000002</v>
      </c>
      <c r="E216" s="28">
        <v>9.469410000000002</v>
      </c>
      <c r="F216" s="11">
        <v>0</v>
      </c>
      <c r="G216" s="16" t="s">
        <v>67</v>
      </c>
      <c r="I216" s="7"/>
      <c r="J216" s="7"/>
    </row>
    <row r="217" spans="1:10" ht="15">
      <c r="A217" s="13">
        <v>213</v>
      </c>
      <c r="B217" s="13" t="s">
        <v>237</v>
      </c>
      <c r="C217" s="34" t="s">
        <v>222</v>
      </c>
      <c r="D217" s="11">
        <f t="shared" si="3"/>
        <v>30.011519999999997</v>
      </c>
      <c r="E217" s="26">
        <f>284.2*0.1056</f>
        <v>30.011519999999997</v>
      </c>
      <c r="F217" s="11">
        <v>0</v>
      </c>
      <c r="G217" s="6"/>
      <c r="I217" s="7"/>
      <c r="J217" s="7"/>
    </row>
    <row r="218" spans="1:10" ht="15">
      <c r="A218" s="13">
        <v>214</v>
      </c>
      <c r="B218" s="13" t="s">
        <v>238</v>
      </c>
      <c r="C218" s="34" t="s">
        <v>222</v>
      </c>
      <c r="D218" s="11">
        <f t="shared" si="3"/>
        <v>31.806900000000002</v>
      </c>
      <c r="E218" s="26">
        <f>299.5*0.1062</f>
        <v>31.806900000000002</v>
      </c>
      <c r="F218" s="11">
        <v>0</v>
      </c>
      <c r="G218" s="6"/>
      <c r="I218" s="7"/>
      <c r="J218" s="7"/>
    </row>
    <row r="219" spans="1:10" ht="15">
      <c r="A219" s="13">
        <v>215</v>
      </c>
      <c r="B219" s="13" t="s">
        <v>239</v>
      </c>
      <c r="C219" s="34" t="s">
        <v>222</v>
      </c>
      <c r="D219" s="11">
        <f t="shared" si="3"/>
        <v>32.80992</v>
      </c>
      <c r="E219" s="26">
        <f>228.8*0.1434</f>
        <v>32.80992</v>
      </c>
      <c r="F219" s="11">
        <v>0</v>
      </c>
      <c r="G219" s="6"/>
      <c r="I219" s="7"/>
      <c r="J219" s="7"/>
    </row>
    <row r="220" spans="1:10" ht="25.5">
      <c r="A220" s="13">
        <v>216</v>
      </c>
      <c r="B220" s="13" t="s">
        <v>240</v>
      </c>
      <c r="C220" s="34" t="s">
        <v>222</v>
      </c>
      <c r="D220" s="11">
        <f t="shared" si="3"/>
        <v>15.419133333333336</v>
      </c>
      <c r="E220" s="35">
        <v>15.419133333333336</v>
      </c>
      <c r="F220" s="11">
        <v>0</v>
      </c>
      <c r="G220" s="16" t="s">
        <v>17</v>
      </c>
      <c r="H220" s="30"/>
      <c r="I220" s="7"/>
      <c r="J220" s="7"/>
    </row>
    <row r="221" spans="1:10" ht="15">
      <c r="A221" s="13">
        <v>217</v>
      </c>
      <c r="B221" s="13" t="s">
        <v>241</v>
      </c>
      <c r="C221" s="34" t="s">
        <v>222</v>
      </c>
      <c r="D221" s="11">
        <f t="shared" si="3"/>
        <v>28.407069999999997</v>
      </c>
      <c r="E221" s="35">
        <f>259.9*0.1093</f>
        <v>28.407069999999997</v>
      </c>
      <c r="F221" s="11">
        <v>0</v>
      </c>
      <c r="G221" s="16"/>
      <c r="I221" s="7"/>
      <c r="J221" s="7"/>
    </row>
    <row r="222" spans="1:10" ht="25.5">
      <c r="A222" s="13">
        <v>218</v>
      </c>
      <c r="B222" s="13" t="s">
        <v>242</v>
      </c>
      <c r="C222" s="34" t="s">
        <v>222</v>
      </c>
      <c r="D222" s="11">
        <f t="shared" si="3"/>
        <v>25.44977166666667</v>
      </c>
      <c r="E222" s="35">
        <v>25.44977166666667</v>
      </c>
      <c r="F222" s="11">
        <v>0</v>
      </c>
      <c r="G222" s="16" t="s">
        <v>67</v>
      </c>
      <c r="I222" s="7"/>
      <c r="J222" s="7"/>
    </row>
    <row r="223" spans="1:10" ht="25.5">
      <c r="A223" s="13">
        <v>219</v>
      </c>
      <c r="B223" s="13" t="s">
        <v>243</v>
      </c>
      <c r="C223" s="34" t="s">
        <v>222</v>
      </c>
      <c r="D223" s="11">
        <f t="shared" si="3"/>
        <v>29.126461666666664</v>
      </c>
      <c r="E223" s="35">
        <v>29.126461666666664</v>
      </c>
      <c r="F223" s="11">
        <v>0</v>
      </c>
      <c r="G223" s="16" t="s">
        <v>67</v>
      </c>
      <c r="I223" s="7"/>
      <c r="J223" s="7"/>
    </row>
    <row r="224" spans="1:10" ht="25.5">
      <c r="A224" s="13">
        <v>220</v>
      </c>
      <c r="B224" s="13" t="s">
        <v>244</v>
      </c>
      <c r="C224" s="34" t="s">
        <v>222</v>
      </c>
      <c r="D224" s="11">
        <f t="shared" si="3"/>
        <v>11.468273333333332</v>
      </c>
      <c r="E224" s="35">
        <v>11.468273333333332</v>
      </c>
      <c r="F224" s="11">
        <v>0</v>
      </c>
      <c r="G224" s="16" t="s">
        <v>67</v>
      </c>
      <c r="I224" s="7"/>
      <c r="J224" s="7"/>
    </row>
    <row r="225" spans="1:10" ht="25.5">
      <c r="A225" s="13">
        <v>221</v>
      </c>
      <c r="B225" s="13" t="s">
        <v>245</v>
      </c>
      <c r="C225" s="34" t="s">
        <v>222</v>
      </c>
      <c r="D225" s="11">
        <f t="shared" si="3"/>
        <v>6.3785533333333335</v>
      </c>
      <c r="E225" s="35">
        <v>6.3785533333333335</v>
      </c>
      <c r="F225" s="11">
        <v>0</v>
      </c>
      <c r="G225" s="16" t="s">
        <v>67</v>
      </c>
      <c r="I225" s="7"/>
      <c r="J225" s="7"/>
    </row>
    <row r="226" spans="1:10" ht="25.5">
      <c r="A226" s="13">
        <v>222</v>
      </c>
      <c r="B226" s="13" t="s">
        <v>246</v>
      </c>
      <c r="C226" s="34" t="s">
        <v>222</v>
      </c>
      <c r="D226" s="11">
        <f t="shared" si="3"/>
        <v>18.518191666666663</v>
      </c>
      <c r="E226" s="35">
        <v>18.518191666666663</v>
      </c>
      <c r="F226" s="11">
        <v>0</v>
      </c>
      <c r="G226" s="16" t="s">
        <v>67</v>
      </c>
      <c r="I226" s="7"/>
      <c r="J226" s="7"/>
    </row>
    <row r="227" spans="1:10" ht="25.5">
      <c r="A227" s="13">
        <v>223</v>
      </c>
      <c r="B227" s="13" t="s">
        <v>247</v>
      </c>
      <c r="C227" s="34" t="s">
        <v>222</v>
      </c>
      <c r="D227" s="11">
        <f t="shared" si="3"/>
        <v>31.679523333333336</v>
      </c>
      <c r="E227" s="35">
        <v>31.679523333333336</v>
      </c>
      <c r="F227" s="11">
        <v>0</v>
      </c>
      <c r="G227" s="16" t="s">
        <v>67</v>
      </c>
      <c r="I227" s="7"/>
      <c r="J227" s="7"/>
    </row>
    <row r="228" spans="1:10" ht="15">
      <c r="A228" s="13">
        <v>224</v>
      </c>
      <c r="B228" s="13" t="s">
        <v>248</v>
      </c>
      <c r="C228" s="34" t="s">
        <v>222</v>
      </c>
      <c r="D228" s="11">
        <f t="shared" si="3"/>
        <v>26.40336</v>
      </c>
      <c r="E228" s="26">
        <f>328.4*0.0804</f>
        <v>26.40336</v>
      </c>
      <c r="F228" s="11">
        <v>0</v>
      </c>
      <c r="G228" s="26"/>
      <c r="I228" s="7"/>
      <c r="J228" s="7"/>
    </row>
    <row r="229" spans="1:10" ht="15">
      <c r="A229" s="13">
        <v>225</v>
      </c>
      <c r="B229" s="13" t="s">
        <v>249</v>
      </c>
      <c r="C229" s="34" t="s">
        <v>222</v>
      </c>
      <c r="D229" s="11">
        <f t="shared" si="3"/>
        <v>26.69612</v>
      </c>
      <c r="E229" s="26">
        <f>189.2*0.1411</f>
        <v>26.69612</v>
      </c>
      <c r="F229" s="11">
        <v>0</v>
      </c>
      <c r="G229" s="26"/>
      <c r="I229" s="7"/>
      <c r="J229" s="7"/>
    </row>
    <row r="230" spans="1:10" ht="15">
      <c r="A230" s="13">
        <v>226</v>
      </c>
      <c r="B230" s="13" t="s">
        <v>250</v>
      </c>
      <c r="C230" s="34" t="s">
        <v>222</v>
      </c>
      <c r="D230" s="11">
        <f t="shared" si="3"/>
        <v>9.503</v>
      </c>
      <c r="E230" s="26">
        <f>110.5*0.086</f>
        <v>9.503</v>
      </c>
      <c r="F230" s="11">
        <v>0</v>
      </c>
      <c r="G230" s="11"/>
      <c r="I230" s="7"/>
      <c r="J230" s="7"/>
    </row>
    <row r="231" spans="1:10" ht="15">
      <c r="A231" s="13">
        <v>227</v>
      </c>
      <c r="B231" s="13" t="s">
        <v>251</v>
      </c>
      <c r="C231" s="34" t="s">
        <v>222</v>
      </c>
      <c r="D231" s="11">
        <f t="shared" si="3"/>
        <v>26.686990000000005</v>
      </c>
      <c r="E231" s="26">
        <f>307.1*0.0869</f>
        <v>26.686990000000005</v>
      </c>
      <c r="F231" s="11">
        <v>0</v>
      </c>
      <c r="G231" s="26"/>
      <c r="I231" s="7"/>
      <c r="J231" s="7"/>
    </row>
    <row r="232" spans="1:10" ht="15">
      <c r="A232" s="13">
        <v>228</v>
      </c>
      <c r="B232" s="9" t="s">
        <v>252</v>
      </c>
      <c r="C232" s="33" t="s">
        <v>203</v>
      </c>
      <c r="D232" s="11">
        <f t="shared" si="3"/>
        <v>51.018</v>
      </c>
      <c r="E232" s="26">
        <f>463.8*0.11</f>
        <v>51.018</v>
      </c>
      <c r="F232" s="11">
        <v>0</v>
      </c>
      <c r="G232" s="11"/>
      <c r="I232" s="7"/>
      <c r="J232" s="7"/>
    </row>
    <row r="233" spans="1:10" ht="15">
      <c r="A233" s="13">
        <v>229</v>
      </c>
      <c r="B233" s="9" t="s">
        <v>253</v>
      </c>
      <c r="C233" s="33" t="s">
        <v>203</v>
      </c>
      <c r="D233" s="11">
        <f t="shared" si="3"/>
        <v>18.297</v>
      </c>
      <c r="E233" s="26">
        <f>171*0.107</f>
        <v>18.297</v>
      </c>
      <c r="F233" s="11">
        <v>0</v>
      </c>
      <c r="G233" s="26"/>
      <c r="I233" s="7"/>
      <c r="J233" s="7"/>
    </row>
    <row r="234" spans="1:10" ht="15">
      <c r="A234" s="13">
        <v>230</v>
      </c>
      <c r="B234" s="9" t="s">
        <v>254</v>
      </c>
      <c r="C234" s="33" t="s">
        <v>203</v>
      </c>
      <c r="D234" s="11">
        <f t="shared" si="3"/>
        <v>25.89675</v>
      </c>
      <c r="E234" s="26">
        <f>240.9*0.1075</f>
        <v>25.89675</v>
      </c>
      <c r="F234" s="11">
        <v>0</v>
      </c>
      <c r="G234" s="26"/>
      <c r="I234" s="7"/>
      <c r="J234" s="7"/>
    </row>
    <row r="235" spans="1:10" ht="15">
      <c r="A235" s="13">
        <v>231</v>
      </c>
      <c r="B235" s="9" t="s">
        <v>255</v>
      </c>
      <c r="C235" s="33" t="s">
        <v>203</v>
      </c>
      <c r="D235" s="11">
        <f t="shared" si="3"/>
        <v>33.39912</v>
      </c>
      <c r="E235" s="26">
        <f>253.6*0.1317</f>
        <v>33.39912</v>
      </c>
      <c r="F235" s="11">
        <v>0</v>
      </c>
      <c r="G235" s="11"/>
      <c r="I235" s="7"/>
      <c r="J235" s="7"/>
    </row>
    <row r="236" spans="1:10" ht="15">
      <c r="A236" s="13">
        <v>232</v>
      </c>
      <c r="B236" s="9" t="s">
        <v>256</v>
      </c>
      <c r="C236" s="33" t="s">
        <v>203</v>
      </c>
      <c r="D236" s="11">
        <f t="shared" si="3"/>
        <v>48.412690000000005</v>
      </c>
      <c r="E236" s="26">
        <f>475.1*0.1019</f>
        <v>48.412690000000005</v>
      </c>
      <c r="F236" s="11">
        <v>0</v>
      </c>
      <c r="G236" s="16"/>
      <c r="I236" s="7"/>
      <c r="J236" s="7"/>
    </row>
    <row r="237" spans="1:10" ht="15">
      <c r="A237" s="13">
        <v>233</v>
      </c>
      <c r="B237" s="13" t="s">
        <v>257</v>
      </c>
      <c r="C237" s="33" t="s">
        <v>203</v>
      </c>
      <c r="D237" s="11">
        <f t="shared" si="3"/>
        <v>24.302400000000002</v>
      </c>
      <c r="E237" s="26">
        <f>292.8*0.083</f>
        <v>24.302400000000002</v>
      </c>
      <c r="F237" s="11">
        <v>0</v>
      </c>
      <c r="G237" s="26"/>
      <c r="I237" s="7"/>
      <c r="J237" s="7"/>
    </row>
    <row r="238" spans="1:10" ht="25.5">
      <c r="A238" s="13">
        <v>234</v>
      </c>
      <c r="B238" s="13" t="s">
        <v>258</v>
      </c>
      <c r="C238" s="33" t="s">
        <v>203</v>
      </c>
      <c r="D238" s="11">
        <f t="shared" si="3"/>
        <v>3.3861166666666667</v>
      </c>
      <c r="E238" s="26">
        <v>3.3861166666666667</v>
      </c>
      <c r="F238" s="11">
        <v>0</v>
      </c>
      <c r="G238" s="16" t="s">
        <v>17</v>
      </c>
      <c r="I238" s="7"/>
      <c r="J238" s="7"/>
    </row>
    <row r="239" spans="1:10" ht="15">
      <c r="A239" s="13">
        <v>235</v>
      </c>
      <c r="B239" s="13" t="s">
        <v>259</v>
      </c>
      <c r="C239" s="33" t="s">
        <v>203</v>
      </c>
      <c r="D239" s="11">
        <f t="shared" si="3"/>
        <v>23.79461</v>
      </c>
      <c r="E239" s="26">
        <f>217.7*0.1093</f>
        <v>23.79461</v>
      </c>
      <c r="F239" s="11">
        <v>0</v>
      </c>
      <c r="G239" s="26"/>
      <c r="I239" s="7"/>
      <c r="J239" s="7"/>
    </row>
    <row r="240" spans="1:10" ht="15">
      <c r="A240" s="13">
        <v>236</v>
      </c>
      <c r="B240" s="13" t="s">
        <v>260</v>
      </c>
      <c r="C240" s="33" t="s">
        <v>203</v>
      </c>
      <c r="D240" s="11">
        <f t="shared" si="3"/>
        <v>21.7107</v>
      </c>
      <c r="E240" s="26">
        <f>283.8*0.0765</f>
        <v>21.7107</v>
      </c>
      <c r="F240" s="11">
        <v>0</v>
      </c>
      <c r="G240" s="26"/>
      <c r="I240" s="7"/>
      <c r="J240" s="7"/>
    </row>
    <row r="241" spans="1:10" ht="15">
      <c r="A241" s="13">
        <v>237</v>
      </c>
      <c r="B241" s="13" t="s">
        <v>261</v>
      </c>
      <c r="C241" s="33" t="s">
        <v>203</v>
      </c>
      <c r="D241" s="11">
        <f t="shared" si="3"/>
        <v>8.201749999999999</v>
      </c>
      <c r="E241" s="26">
        <f>132.5*0.0619</f>
        <v>8.201749999999999</v>
      </c>
      <c r="F241" s="11">
        <v>0</v>
      </c>
      <c r="G241" s="26"/>
      <c r="I241" s="7"/>
      <c r="J241" s="7"/>
    </row>
    <row r="242" spans="1:10" ht="15">
      <c r="A242" s="13">
        <v>238</v>
      </c>
      <c r="B242" s="13" t="s">
        <v>262</v>
      </c>
      <c r="C242" s="33" t="s">
        <v>203</v>
      </c>
      <c r="D242" s="11">
        <f t="shared" si="3"/>
        <v>24.5949</v>
      </c>
      <c r="E242" s="26">
        <f>257*0.0957</f>
        <v>24.5949</v>
      </c>
      <c r="F242" s="11">
        <v>0</v>
      </c>
      <c r="G242" s="26"/>
      <c r="I242" s="7"/>
      <c r="J242" s="7"/>
    </row>
    <row r="243" spans="1:10" ht="15">
      <c r="A243" s="13">
        <v>239</v>
      </c>
      <c r="B243" s="13" t="s">
        <v>263</v>
      </c>
      <c r="C243" s="33" t="s">
        <v>203</v>
      </c>
      <c r="D243" s="11">
        <f t="shared" si="3"/>
        <v>9.29475</v>
      </c>
      <c r="E243" s="26">
        <f>127.5*0.0729</f>
        <v>9.29475</v>
      </c>
      <c r="F243" s="11">
        <v>0</v>
      </c>
      <c r="G243" s="26"/>
      <c r="I243" s="7"/>
      <c r="J243" s="7"/>
    </row>
    <row r="244" spans="1:10" ht="15">
      <c r="A244" s="13">
        <v>240</v>
      </c>
      <c r="B244" s="13" t="s">
        <v>264</v>
      </c>
      <c r="C244" s="33" t="s">
        <v>203</v>
      </c>
      <c r="D244" s="11">
        <f t="shared" si="3"/>
        <v>23.09534</v>
      </c>
      <c r="E244" s="26">
        <f>174.7*0.1322</f>
        <v>23.09534</v>
      </c>
      <c r="F244" s="11">
        <v>0</v>
      </c>
      <c r="G244" s="26"/>
      <c r="I244" s="7"/>
      <c r="J244" s="7"/>
    </row>
    <row r="245" spans="1:10" ht="15">
      <c r="A245" s="13">
        <v>241</v>
      </c>
      <c r="B245" s="13" t="s">
        <v>265</v>
      </c>
      <c r="C245" s="33" t="s">
        <v>203</v>
      </c>
      <c r="D245" s="11">
        <f t="shared" si="3"/>
        <v>17.6022</v>
      </c>
      <c r="E245" s="26">
        <f>154*0.1143</f>
        <v>17.6022</v>
      </c>
      <c r="F245" s="11">
        <v>0</v>
      </c>
      <c r="G245" s="26"/>
      <c r="I245" s="7"/>
      <c r="J245" s="7"/>
    </row>
    <row r="246" spans="1:10" ht="15">
      <c r="A246" s="13">
        <v>242</v>
      </c>
      <c r="B246" s="13" t="s">
        <v>266</v>
      </c>
      <c r="C246" s="33" t="s">
        <v>203</v>
      </c>
      <c r="D246" s="11">
        <f t="shared" si="3"/>
        <v>25.80045</v>
      </c>
      <c r="E246" s="26">
        <f>170.3*0.1515</f>
        <v>25.80045</v>
      </c>
      <c r="F246" s="11">
        <v>0</v>
      </c>
      <c r="G246" s="26"/>
      <c r="I246" s="7"/>
      <c r="J246" s="7"/>
    </row>
    <row r="247" spans="1:10" ht="15">
      <c r="A247" s="13">
        <v>243</v>
      </c>
      <c r="B247" s="13" t="s">
        <v>267</v>
      </c>
      <c r="C247" s="33" t="s">
        <v>203</v>
      </c>
      <c r="D247" s="11">
        <f t="shared" si="3"/>
        <v>15.392280000000001</v>
      </c>
      <c r="E247" s="26">
        <f>163.4*0.0942</f>
        <v>15.392280000000001</v>
      </c>
      <c r="F247" s="11">
        <v>0</v>
      </c>
      <c r="G247" s="26"/>
      <c r="I247" s="7"/>
      <c r="J247" s="7"/>
    </row>
    <row r="248" spans="1:10" ht="15">
      <c r="A248" s="13">
        <v>244</v>
      </c>
      <c r="B248" s="9" t="s">
        <v>268</v>
      </c>
      <c r="C248" s="34" t="s">
        <v>207</v>
      </c>
      <c r="D248" s="11">
        <f t="shared" si="3"/>
        <v>32.596000000000004</v>
      </c>
      <c r="E248" s="26">
        <f>281*0.116</f>
        <v>32.596000000000004</v>
      </c>
      <c r="F248" s="11">
        <v>0</v>
      </c>
      <c r="G248" s="26"/>
      <c r="I248" s="7"/>
      <c r="J248" s="7"/>
    </row>
    <row r="249" spans="1:10" ht="15">
      <c r="A249" s="13">
        <v>245</v>
      </c>
      <c r="B249" s="13" t="s">
        <v>269</v>
      </c>
      <c r="C249" s="33" t="s">
        <v>203</v>
      </c>
      <c r="D249" s="11">
        <f t="shared" si="3"/>
        <v>29.508480000000002</v>
      </c>
      <c r="E249" s="26">
        <f>261.6*0.1128</f>
        <v>29.508480000000002</v>
      </c>
      <c r="F249" s="11">
        <v>0</v>
      </c>
      <c r="G249" s="12"/>
      <c r="I249" s="7"/>
      <c r="J249" s="7"/>
    </row>
    <row r="250" spans="1:10" ht="15">
      <c r="A250" s="13">
        <v>246</v>
      </c>
      <c r="B250" s="13" t="s">
        <v>270</v>
      </c>
      <c r="C250" s="33" t="s">
        <v>203</v>
      </c>
      <c r="D250" s="11">
        <f t="shared" si="3"/>
        <v>25.8041</v>
      </c>
      <c r="E250" s="26">
        <f>191*0.1351</f>
        <v>25.8041</v>
      </c>
      <c r="F250" s="11">
        <v>0</v>
      </c>
      <c r="G250" s="12"/>
      <c r="I250" s="7"/>
      <c r="J250" s="7"/>
    </row>
    <row r="251" spans="1:10" ht="15">
      <c r="A251" s="13">
        <v>247</v>
      </c>
      <c r="B251" s="9" t="s">
        <v>271</v>
      </c>
      <c r="C251" s="33" t="s">
        <v>203</v>
      </c>
      <c r="D251" s="11">
        <f t="shared" si="3"/>
        <v>55.185</v>
      </c>
      <c r="E251" s="26">
        <f>424.5*0.13</f>
        <v>55.185</v>
      </c>
      <c r="F251" s="11">
        <v>0</v>
      </c>
      <c r="G251" s="12"/>
      <c r="I251" s="7"/>
      <c r="J251" s="7"/>
    </row>
    <row r="252" spans="1:10" ht="25.5">
      <c r="A252" s="13">
        <v>248</v>
      </c>
      <c r="B252" s="9" t="s">
        <v>272</v>
      </c>
      <c r="C252" s="18" t="s">
        <v>160</v>
      </c>
      <c r="D252" s="11">
        <f t="shared" si="3"/>
        <v>6.300708333333333</v>
      </c>
      <c r="E252" s="26">
        <v>6.300708333333333</v>
      </c>
      <c r="F252" s="11">
        <v>0</v>
      </c>
      <c r="G252" s="16" t="s">
        <v>67</v>
      </c>
      <c r="I252" s="7"/>
      <c r="J252" s="7"/>
    </row>
    <row r="253" spans="1:10" ht="15">
      <c r="A253" s="13">
        <v>249</v>
      </c>
      <c r="B253" s="9" t="s">
        <v>273</v>
      </c>
      <c r="C253" s="18" t="s">
        <v>166</v>
      </c>
      <c r="D253" s="11">
        <f t="shared" si="3"/>
        <v>14.60198</v>
      </c>
      <c r="E253" s="26">
        <f>128.2*0.1139</f>
        <v>14.60198</v>
      </c>
      <c r="F253" s="11">
        <v>0</v>
      </c>
      <c r="G253" s="12"/>
      <c r="I253" s="7"/>
      <c r="J253" s="7"/>
    </row>
    <row r="254" spans="1:10" ht="25.5">
      <c r="A254" s="13">
        <v>250</v>
      </c>
      <c r="B254" s="9" t="s">
        <v>274</v>
      </c>
      <c r="C254" s="18" t="s">
        <v>160</v>
      </c>
      <c r="D254" s="11">
        <f t="shared" si="3"/>
        <v>8.851941666666667</v>
      </c>
      <c r="E254" s="35">
        <v>8.851941666666667</v>
      </c>
      <c r="F254" s="11">
        <v>0</v>
      </c>
      <c r="G254" s="16" t="s">
        <v>17</v>
      </c>
      <c r="I254" s="7"/>
      <c r="J254" s="7"/>
    </row>
    <row r="255" spans="1:10" ht="15">
      <c r="A255" s="13">
        <v>251</v>
      </c>
      <c r="B255" s="13" t="s">
        <v>275</v>
      </c>
      <c r="C255" s="10" t="s">
        <v>276</v>
      </c>
      <c r="D255" s="11">
        <f t="shared" si="3"/>
        <v>28.4256</v>
      </c>
      <c r="E255" s="26">
        <f>376*0.0756</f>
        <v>28.4256</v>
      </c>
      <c r="F255" s="11">
        <v>0</v>
      </c>
      <c r="G255" s="6"/>
      <c r="I255" s="7"/>
      <c r="J255" s="7"/>
    </row>
    <row r="256" spans="1:10" ht="15">
      <c r="A256" s="13">
        <v>252</v>
      </c>
      <c r="B256" s="9" t="s">
        <v>277</v>
      </c>
      <c r="C256" s="18" t="s">
        <v>166</v>
      </c>
      <c r="D256" s="11">
        <f t="shared" si="3"/>
        <v>6.9974</v>
      </c>
      <c r="E256" s="26">
        <f>59*0.1186</f>
        <v>6.9974</v>
      </c>
      <c r="F256" s="11">
        <v>0</v>
      </c>
      <c r="G256" s="16"/>
      <c r="I256" s="7"/>
      <c r="J256" s="7"/>
    </row>
    <row r="257" spans="1:10" ht="15">
      <c r="A257" s="13">
        <v>253</v>
      </c>
      <c r="B257" s="9" t="s">
        <v>278</v>
      </c>
      <c r="C257" s="18" t="s">
        <v>160</v>
      </c>
      <c r="D257" s="11">
        <f t="shared" si="3"/>
        <v>9.90024</v>
      </c>
      <c r="E257" s="26">
        <f>85.2*0.1162</f>
        <v>9.90024</v>
      </c>
      <c r="F257" s="11">
        <v>0</v>
      </c>
      <c r="G257" s="6"/>
      <c r="I257" s="7"/>
      <c r="J257" s="7"/>
    </row>
    <row r="258" spans="1:10" ht="15">
      <c r="A258" s="13">
        <v>254</v>
      </c>
      <c r="B258" s="13" t="s">
        <v>279</v>
      </c>
      <c r="C258" s="18" t="s">
        <v>166</v>
      </c>
      <c r="D258" s="11">
        <f t="shared" si="3"/>
        <v>10.59966</v>
      </c>
      <c r="E258" s="26">
        <f>72.9*0.1454</f>
        <v>10.59966</v>
      </c>
      <c r="F258" s="11">
        <v>0</v>
      </c>
      <c r="G258" s="6"/>
      <c r="I258" s="7"/>
      <c r="J258" s="7"/>
    </row>
    <row r="259" spans="1:10" ht="15">
      <c r="A259" s="13">
        <v>255</v>
      </c>
      <c r="B259" s="13" t="s">
        <v>280</v>
      </c>
      <c r="C259" s="18" t="s">
        <v>166</v>
      </c>
      <c r="D259" s="11">
        <f t="shared" si="3"/>
        <v>10.40137</v>
      </c>
      <c r="E259" s="26">
        <f>106.9*0.0973</f>
        <v>10.40137</v>
      </c>
      <c r="F259" s="11">
        <v>0</v>
      </c>
      <c r="G259" s="36"/>
      <c r="I259" s="7"/>
      <c r="J259" s="7"/>
    </row>
    <row r="260" spans="1:10" ht="15">
      <c r="A260" s="13">
        <v>256</v>
      </c>
      <c r="B260" s="9" t="s">
        <v>281</v>
      </c>
      <c r="C260" s="18" t="s">
        <v>166</v>
      </c>
      <c r="D260" s="11">
        <f t="shared" si="3"/>
        <v>10.201749999999999</v>
      </c>
      <c r="E260" s="26">
        <f>55.9*0.1825</f>
        <v>10.201749999999999</v>
      </c>
      <c r="F260" s="11">
        <v>0</v>
      </c>
      <c r="G260" s="28"/>
      <c r="I260" s="7"/>
      <c r="J260" s="7"/>
    </row>
    <row r="261" spans="1:10" ht="15">
      <c r="A261" s="13">
        <v>257</v>
      </c>
      <c r="B261" s="9" t="s">
        <v>282</v>
      </c>
      <c r="C261" s="10" t="s">
        <v>83</v>
      </c>
      <c r="D261" s="11">
        <f t="shared" si="3"/>
        <v>21.69664</v>
      </c>
      <c r="E261" s="26">
        <f>133.6*0.1624</f>
        <v>21.69664</v>
      </c>
      <c r="F261" s="11">
        <v>0</v>
      </c>
      <c r="G261" s="6"/>
      <c r="I261" s="7"/>
      <c r="J261" s="7"/>
    </row>
    <row r="262" spans="1:10" ht="15">
      <c r="A262" s="13">
        <v>258</v>
      </c>
      <c r="B262" s="9" t="s">
        <v>283</v>
      </c>
      <c r="C262" s="18" t="s">
        <v>166</v>
      </c>
      <c r="D262" s="11">
        <f t="shared" si="3"/>
        <v>12.39</v>
      </c>
      <c r="E262" s="20">
        <v>12.39</v>
      </c>
      <c r="F262" s="11">
        <v>0</v>
      </c>
      <c r="G262" s="6"/>
      <c r="I262" s="7"/>
      <c r="J262" s="7"/>
    </row>
    <row r="263" spans="1:10" ht="15">
      <c r="A263" s="13">
        <v>259</v>
      </c>
      <c r="B263" s="13" t="s">
        <v>284</v>
      </c>
      <c r="C263" s="18" t="s">
        <v>166</v>
      </c>
      <c r="D263" s="11"/>
      <c r="E263" s="35"/>
      <c r="F263" s="11"/>
      <c r="G263" s="37" t="s">
        <v>169</v>
      </c>
      <c r="I263" s="7"/>
      <c r="J263" s="7"/>
    </row>
    <row r="264" spans="1:10" ht="15">
      <c r="A264" s="13">
        <v>260</v>
      </c>
      <c r="B264" s="9" t="s">
        <v>285</v>
      </c>
      <c r="C264" s="10" t="s">
        <v>83</v>
      </c>
      <c r="D264" s="11">
        <f aca="true" t="shared" si="4" ref="D264:D274">E264</f>
        <v>25.499599999999997</v>
      </c>
      <c r="E264" s="26">
        <f>196*0.1301</f>
        <v>25.499599999999997</v>
      </c>
      <c r="F264" s="11">
        <v>0</v>
      </c>
      <c r="G264" s="6"/>
      <c r="I264" s="7"/>
      <c r="J264" s="7"/>
    </row>
    <row r="265" spans="1:10" ht="15">
      <c r="A265" s="13">
        <v>261</v>
      </c>
      <c r="B265" s="9" t="s">
        <v>286</v>
      </c>
      <c r="C265" s="10" t="s">
        <v>147</v>
      </c>
      <c r="D265" s="11">
        <f t="shared" si="4"/>
        <v>12.7</v>
      </c>
      <c r="E265" s="38">
        <v>12.7</v>
      </c>
      <c r="F265" s="11">
        <v>0</v>
      </c>
      <c r="G265" s="6"/>
      <c r="I265" s="7"/>
      <c r="J265" s="7"/>
    </row>
    <row r="266" spans="1:10" ht="25.5">
      <c r="A266" s="13">
        <v>262</v>
      </c>
      <c r="B266" s="13" t="s">
        <v>287</v>
      </c>
      <c r="C266" s="18" t="s">
        <v>160</v>
      </c>
      <c r="D266" s="11">
        <f t="shared" si="4"/>
        <v>11.110230999999999</v>
      </c>
      <c r="E266" s="35">
        <v>11.110230999999999</v>
      </c>
      <c r="F266" s="11">
        <v>0</v>
      </c>
      <c r="G266" s="16" t="s">
        <v>17</v>
      </c>
      <c r="I266" s="7"/>
      <c r="J266" s="7"/>
    </row>
    <row r="267" spans="1:10" ht="15">
      <c r="A267" s="13">
        <v>263</v>
      </c>
      <c r="B267" s="9" t="s">
        <v>288</v>
      </c>
      <c r="C267" s="10" t="s">
        <v>147</v>
      </c>
      <c r="D267" s="11">
        <f t="shared" si="4"/>
        <v>8.700783</v>
      </c>
      <c r="E267" s="26">
        <f>61.23*0.1421</f>
        <v>8.700783</v>
      </c>
      <c r="F267" s="11">
        <v>0</v>
      </c>
      <c r="G267" s="6"/>
      <c r="I267" s="7"/>
      <c r="J267" s="7"/>
    </row>
    <row r="268" spans="1:10" ht="15">
      <c r="A268" s="13">
        <v>264</v>
      </c>
      <c r="B268" s="9" t="s">
        <v>289</v>
      </c>
      <c r="C268" s="18" t="s">
        <v>160</v>
      </c>
      <c r="D268" s="11">
        <f t="shared" si="4"/>
        <v>14.02</v>
      </c>
      <c r="E268" s="38">
        <v>14.02</v>
      </c>
      <c r="F268" s="11">
        <v>0</v>
      </c>
      <c r="G268" s="6"/>
      <c r="I268" s="7"/>
      <c r="J268" s="7"/>
    </row>
    <row r="269" spans="1:10" ht="25.5">
      <c r="A269" s="13">
        <v>265</v>
      </c>
      <c r="B269" s="9" t="s">
        <v>290</v>
      </c>
      <c r="C269" s="18" t="s">
        <v>160</v>
      </c>
      <c r="D269" s="11">
        <f t="shared" si="4"/>
        <v>10.877239999999999</v>
      </c>
      <c r="E269" s="35">
        <v>10.877239999999999</v>
      </c>
      <c r="F269" s="11">
        <v>0</v>
      </c>
      <c r="G269" s="16" t="s">
        <v>17</v>
      </c>
      <c r="I269" s="7"/>
      <c r="J269" s="7"/>
    </row>
    <row r="270" spans="1:9" ht="15">
      <c r="A270" s="13">
        <v>266</v>
      </c>
      <c r="B270" s="9" t="s">
        <v>291</v>
      </c>
      <c r="C270" s="18" t="s">
        <v>160</v>
      </c>
      <c r="D270" s="11">
        <f t="shared" si="4"/>
        <v>14.7</v>
      </c>
      <c r="E270" s="20">
        <v>14.7</v>
      </c>
      <c r="F270" s="11">
        <v>0</v>
      </c>
      <c r="G270" s="39"/>
      <c r="I270" s="7"/>
    </row>
    <row r="271" spans="1:9" ht="15">
      <c r="A271" s="13">
        <v>267</v>
      </c>
      <c r="B271" s="9" t="s">
        <v>292</v>
      </c>
      <c r="C271" s="10" t="s">
        <v>147</v>
      </c>
      <c r="D271" s="11">
        <f t="shared" si="4"/>
        <v>27.6991</v>
      </c>
      <c r="E271" s="26">
        <f>163.9*0.169</f>
        <v>27.6991</v>
      </c>
      <c r="F271" s="11">
        <v>0</v>
      </c>
      <c r="G271" s="6"/>
      <c r="I271" s="7"/>
    </row>
    <row r="272" spans="1:9" ht="15">
      <c r="A272" s="13">
        <v>268</v>
      </c>
      <c r="B272" s="13" t="s">
        <v>293</v>
      </c>
      <c r="C272" s="10" t="s">
        <v>147</v>
      </c>
      <c r="D272" s="11">
        <f t="shared" si="4"/>
        <v>17.104499999999998</v>
      </c>
      <c r="E272" s="26">
        <f>105*0.1629</f>
        <v>17.104499999999998</v>
      </c>
      <c r="F272" s="11">
        <v>0</v>
      </c>
      <c r="G272" s="6"/>
      <c r="I272" s="7"/>
    </row>
    <row r="273" spans="1:9" ht="15">
      <c r="A273" s="13">
        <v>269</v>
      </c>
      <c r="B273" s="13" t="s">
        <v>294</v>
      </c>
      <c r="C273" s="10" t="s">
        <v>147</v>
      </c>
      <c r="D273" s="11"/>
      <c r="E273" s="35"/>
      <c r="F273" s="11"/>
      <c r="G273" s="16" t="s">
        <v>295</v>
      </c>
      <c r="I273" s="7"/>
    </row>
    <row r="274" spans="1:9" ht="15">
      <c r="A274" s="13">
        <v>270</v>
      </c>
      <c r="B274" s="9" t="s">
        <v>296</v>
      </c>
      <c r="C274" s="10" t="s">
        <v>83</v>
      </c>
      <c r="D274" s="11">
        <f t="shared" si="4"/>
        <v>24.09918</v>
      </c>
      <c r="E274" s="26">
        <f>117.1*0.2058</f>
        <v>24.09918</v>
      </c>
      <c r="F274" s="11">
        <v>0</v>
      </c>
      <c r="G274" s="6"/>
      <c r="I274" s="7"/>
    </row>
  </sheetData>
  <sheetProtection/>
  <mergeCells count="5">
    <mergeCell ref="A3:A4"/>
    <mergeCell ref="B3:B4"/>
    <mergeCell ref="C3:C4"/>
    <mergeCell ref="D3:D4"/>
    <mergeCell ref="G3:G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buh4</dc:creator>
  <cp:keywords/>
  <dc:description/>
  <cp:lastModifiedBy>buh4</cp:lastModifiedBy>
  <dcterms:created xsi:type="dcterms:W3CDTF">2015-10-09T10:57:39Z</dcterms:created>
  <dcterms:modified xsi:type="dcterms:W3CDTF">2015-10-09T11:16:51Z</dcterms:modified>
  <cp:category/>
  <cp:version/>
  <cp:contentType/>
  <cp:contentStatus/>
</cp:coreProperties>
</file>